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100" windowHeight="9810"/>
  </bookViews>
  <sheets>
    <sheet name="Spoler" sheetId="1" r:id="rId1"/>
  </sheets>
  <calcPr calcId="125725"/>
</workbook>
</file>

<file path=xl/calcChain.xml><?xml version="1.0" encoding="utf-8"?>
<calcChain xmlns="http://schemas.openxmlformats.org/spreadsheetml/2006/main">
  <c r="A30" i="1"/>
  <c r="A54"/>
  <c r="B30"/>
  <c r="B54"/>
  <c r="A10"/>
  <c r="B10"/>
  <c r="B29"/>
  <c r="B40"/>
  <c r="B39"/>
  <c r="B28"/>
  <c r="B26"/>
  <c r="B25"/>
  <c r="B20"/>
  <c r="B19"/>
  <c r="B6"/>
  <c r="B9"/>
  <c r="B8"/>
  <c r="B5"/>
  <c r="B53"/>
  <c r="B52"/>
  <c r="F63"/>
  <c r="F64"/>
  <c r="B64"/>
  <c r="D24"/>
  <c r="D4"/>
  <c r="D37"/>
  <c r="D17"/>
  <c r="B72"/>
  <c r="B65"/>
  <c r="B50"/>
  <c r="B27"/>
  <c r="B24"/>
  <c r="B23"/>
  <c r="B31"/>
  <c r="B22"/>
  <c r="B37"/>
  <c r="B4"/>
  <c r="B2"/>
  <c r="B16"/>
  <c r="B7"/>
  <c r="B3"/>
  <c r="B49"/>
  <c r="B51"/>
  <c r="B47"/>
  <c r="B71"/>
  <c r="B70"/>
  <c r="B35"/>
  <c r="D7"/>
  <c r="B38"/>
  <c r="B34"/>
  <c r="B15"/>
  <c r="B18"/>
  <c r="B14"/>
  <c r="D27"/>
  <c r="B55"/>
  <c r="B59"/>
  <c r="B66"/>
  <c r="B60"/>
  <c r="B17"/>
  <c r="D69"/>
  <c r="F69"/>
  <c r="G49"/>
  <c r="G50"/>
  <c r="B43"/>
  <c r="D43"/>
  <c r="G51"/>
  <c r="B56"/>
  <c r="B57"/>
  <c r="B45"/>
  <c r="B42"/>
  <c r="D42"/>
  <c r="B44"/>
  <c r="B63"/>
  <c r="G43"/>
  <c r="B62"/>
  <c r="D44"/>
  <c r="G44"/>
  <c r="G45"/>
  <c r="B58"/>
  <c r="B67"/>
  <c r="B61"/>
  <c r="D45"/>
  <c r="D46"/>
  <c r="B46"/>
  <c r="B36"/>
  <c r="B33"/>
  <c r="D31"/>
  <c r="F72"/>
  <c r="B32"/>
  <c r="B11"/>
  <c r="B12"/>
  <c r="D11"/>
  <c r="F71"/>
  <c r="B13"/>
</calcChain>
</file>

<file path=xl/sharedStrings.xml><?xml version="1.0" encoding="utf-8"?>
<sst xmlns="http://schemas.openxmlformats.org/spreadsheetml/2006/main" count="207" uniqueCount="102">
  <si>
    <t>Hz</t>
  </si>
  <si>
    <t>Henry</t>
  </si>
  <si>
    <t>Farad</t>
  </si>
  <si>
    <t>uH</t>
  </si>
  <si>
    <t>Ohm</t>
  </si>
  <si>
    <t>Kohm</t>
  </si>
  <si>
    <t>uSec</t>
  </si>
  <si>
    <t>C1</t>
  </si>
  <si>
    <t>R2</t>
  </si>
  <si>
    <t>R1</t>
  </si>
  <si>
    <t>nF</t>
  </si>
  <si>
    <t>fQ = 1 / ((R1+R2)*C1)</t>
  </si>
  <si>
    <t>C13</t>
  </si>
  <si>
    <t>C14</t>
  </si>
  <si>
    <t>cm</t>
  </si>
  <si>
    <t>mm</t>
  </si>
  <si>
    <t>r=D/2</t>
  </si>
  <si>
    <t>Henry/m</t>
  </si>
  <si>
    <t>K = korrektionsfaktor</t>
  </si>
  <si>
    <t>m</t>
  </si>
  <si>
    <t>m^2</t>
  </si>
  <si>
    <t>Permeabiliteten</t>
  </si>
  <si>
    <t>Simpel udregning</t>
  </si>
  <si>
    <t>D diameter på spoleform</t>
  </si>
  <si>
    <t>Ad D-formet spole</t>
  </si>
  <si>
    <t>D-formet spole areal</t>
  </si>
  <si>
    <t>Cirkel-formet spole areal</t>
  </si>
  <si>
    <t>Cirkel-formet spole diameter</t>
  </si>
  <si>
    <t>D center til center af tråden</t>
  </si>
  <si>
    <t>l=</t>
  </si>
  <si>
    <t>KHz</t>
  </si>
  <si>
    <t>Radius spoleform</t>
  </si>
  <si>
    <t>x = mm over midten</t>
  </si>
  <si>
    <t>N = L1 + L2</t>
  </si>
  <si>
    <t>N = L4 + L5</t>
  </si>
  <si>
    <t>x = mm over midten i D-formet spole</t>
  </si>
  <si>
    <t>N vindinger</t>
  </si>
  <si>
    <t>Kabel i mm</t>
  </si>
  <si>
    <t>Beregning af Burst tiden</t>
  </si>
  <si>
    <t>Burst tiden er:</t>
  </si>
  <si>
    <t>Spolens nedre grænsefrekvens</t>
  </si>
  <si>
    <t>Bruges ikke</t>
  </si>
  <si>
    <t>0,5 til 2,5 fra lang spole til kort spole med kun 1 løkke</t>
  </si>
  <si>
    <t>lc = cirkel-formet trådlængde + kabel</t>
  </si>
  <si>
    <t>ld = D-formet trådlængde + kabel</t>
  </si>
  <si>
    <t>r=D/2 tråden</t>
  </si>
  <si>
    <t>l=t*N spolens længde</t>
  </si>
  <si>
    <t>Beregninger på Metaldetektorens D-sendespole</t>
  </si>
  <si>
    <t>Beregninger på Metaldetektorens D-modtagespole</t>
  </si>
  <si>
    <t>LA=L1+L2 målt ved 10KHz</t>
  </si>
  <si>
    <t>r=D/2 tråd</t>
  </si>
  <si>
    <t>Diameter  spoleform = 2*radius</t>
  </si>
  <si>
    <t>LB=L4+L5 målt ved 10KHz</t>
  </si>
  <si>
    <t>Beregning af et lags cylindrisk luftspole efter forskellige modeller</t>
  </si>
  <si>
    <t>Cp LA spolens parallel kapacitet målt eller "skønnet"</t>
  </si>
  <si>
    <t>Cp LB spolens parallel kapacitet målt eller "skønnet"</t>
  </si>
  <si>
    <t>Ohm m^2/m</t>
  </si>
  <si>
    <t>Cp spolens parallel kapacitet målt eller "skønnet"</t>
  </si>
  <si>
    <t>t = Diameter kobbertråd</t>
  </si>
  <si>
    <t>Enheder efter SI-systemet eller MKSA-systemet</t>
  </si>
  <si>
    <t>ld = D-formet trådlængde</t>
  </si>
  <si>
    <t>Anvendt tråd med Ohm mm^2/m</t>
  </si>
  <si>
    <t>ved stuetemperatur</t>
  </si>
  <si>
    <t>guld</t>
  </si>
  <si>
    <t>aluminium</t>
  </si>
  <si>
    <t>kobber</t>
  </si>
  <si>
    <t>platin</t>
  </si>
  <si>
    <t>sølv</t>
  </si>
  <si>
    <t>q=π*r^2 tråd</t>
  </si>
  <si>
    <t>Xc = 1/(2π*f*C13)</t>
  </si>
  <si>
    <t>Xl = 2π*f*LA</t>
  </si>
  <si>
    <t>D-spole arealet = π*r^2/2 + (D*X)</t>
  </si>
  <si>
    <t>fl=Rdc/2π*LA</t>
  </si>
  <si>
    <t>Xl = 2π*f*LB</t>
  </si>
  <si>
    <t>Xc = 1/(2π*f*C14)</t>
  </si>
  <si>
    <t>fl=Rdc/2π*LB</t>
  </si>
  <si>
    <t>A=π*r^2 tråden</t>
  </si>
  <si>
    <t>Ac Cirkel-formet spole π * r^2</t>
  </si>
  <si>
    <t>fl=Rdc/2πi*L</t>
  </si>
  <si>
    <r>
      <t xml:space="preserve">Rdc LB=L4+L5 målt og beregnet </t>
    </r>
    <r>
      <rPr>
        <sz val="11"/>
        <color indexed="8"/>
        <rFont val="Calibri"/>
        <family val="2"/>
      </rPr>
      <t>ρ</t>
    </r>
    <r>
      <rPr>
        <sz val="11"/>
        <color indexed="8"/>
        <rFont val="Arial"/>
        <family val="2"/>
      </rPr>
      <t>*l/q</t>
    </r>
  </si>
  <si>
    <t>Rdc LA=L1+L2 målt og beregnet ρ*l/q</t>
  </si>
  <si>
    <t>Rdc for cirkel-formet spole beregnet ρ*l/q</t>
  </si>
  <si>
    <t>Rdc for D-formet spole beregnet ρ*l/q</t>
  </si>
  <si>
    <t>ρ = specifik modstand for</t>
  </si>
  <si>
    <r>
      <rPr>
        <sz val="11"/>
        <color indexed="8"/>
        <rFont val="Calibri"/>
        <family val="2"/>
      </rPr>
      <t>µₒ</t>
    </r>
    <r>
      <rPr>
        <sz val="11"/>
        <color indexed="8"/>
        <rFont val="Arial"/>
        <family val="2"/>
      </rPr>
      <t xml:space="preserve"> luft</t>
    </r>
  </si>
  <si>
    <r>
      <t>L simpel=</t>
    </r>
    <r>
      <rPr>
        <sz val="11"/>
        <color indexed="8"/>
        <rFont val="Calibri"/>
        <family val="2"/>
      </rPr>
      <t>µₒ</t>
    </r>
    <r>
      <rPr>
        <sz val="11"/>
        <color indexed="8"/>
        <rFont val="Arial"/>
        <family val="2"/>
      </rPr>
      <t>*D*N^2*</t>
    </r>
    <r>
      <rPr>
        <sz val="11"/>
        <color indexed="10"/>
        <rFont val="Arial"/>
        <family val="2"/>
      </rPr>
      <t>K</t>
    </r>
  </si>
  <si>
    <r>
      <t>LW diameter=</t>
    </r>
    <r>
      <rPr>
        <sz val="11"/>
        <color indexed="8"/>
        <rFont val="Calibri"/>
        <family val="2"/>
      </rPr>
      <t>π</t>
    </r>
    <r>
      <rPr>
        <sz val="11"/>
        <color indexed="8"/>
        <rFont val="Arial"/>
        <family val="2"/>
      </rPr>
      <t>/4*( (µₒ*D^2*N^2 )/( l +( 0,45*D)))</t>
    </r>
  </si>
  <si>
    <t>LK diameter=(µₒ*D*N^2/2)*ln(2,43*D/l)</t>
  </si>
  <si>
    <t>LD-form areal = (µₒ*Ad*N^2)/(l+(0,45*D))</t>
  </si>
  <si>
    <t>LC-form areal =(µₒ*Ac*N^2)/(l+(0,45*D))</t>
  </si>
  <si>
    <t>l ≥0,4*D</t>
  </si>
  <si>
    <t>l≤0,35*D</t>
  </si>
  <si>
    <t>fH=1/(2π*KVROD(L*Cp))</t>
  </si>
  <si>
    <t>fH=1/(2π*KVROD(LB*Cp))</t>
  </si>
  <si>
    <r>
      <t>fres = 1/(2</t>
    </r>
    <r>
      <rPr>
        <sz val="11"/>
        <color indexed="8"/>
        <rFont val="Calibri"/>
        <family val="2"/>
      </rPr>
      <t>π</t>
    </r>
    <r>
      <rPr>
        <sz val="11"/>
        <color indexed="8"/>
        <rFont val="Arial"/>
        <family val="2"/>
      </rPr>
      <t>*KVROD(LB*C14))</t>
    </r>
  </si>
  <si>
    <t>fH=1/(2π*KVROD(LA*Cp))</t>
  </si>
  <si>
    <r>
      <t>fres = 1/(2</t>
    </r>
    <r>
      <rPr>
        <sz val="11"/>
        <color indexed="8"/>
        <rFont val="Calibri"/>
        <family val="2"/>
      </rPr>
      <t>π</t>
    </r>
    <r>
      <rPr>
        <sz val="11"/>
        <color indexed="8"/>
        <rFont val="Arial"/>
        <family val="2"/>
      </rPr>
      <t>*KVROD(LA*C13))</t>
    </r>
  </si>
  <si>
    <t>walter</t>
  </si>
  <si>
    <t>Reg.No.1253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</si>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</sst>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64" formatCode="#,##0.000"/>
    <numFmt numFmtId="165" formatCode="#,##0.0000"/>
    <numFmt numFmtId="166" formatCode="_ * #,##0_ ;_ * \-#,##0_ ;_ * &quot;-&quot;??_ ;_ @_ "/>
    <numFmt numFmtId="167" formatCode="_ * #,##0.000000_ ;_ * \-#,##0.000000_ ;_ * &quot;-&quot;??_ ;_ @_ "/>
    <numFmt numFmtId="168" formatCode="#,##0.00000"/>
    <numFmt numFmtId="169" formatCode="0.000"/>
    <numFmt numFmtId="170" formatCode="_ * #,##0.00000_ ;_ * \-#,##0.00000_ ;_ * &quot;-&quot;??_ ;_ @_ "/>
    <numFmt numFmtId="171" formatCode="#,##0.000000"/>
    <numFmt numFmtId="172" formatCode="#,##0.0"/>
    <numFmt numFmtId="173" formatCode="0.0000E+00"/>
    <numFmt numFmtId="174" formatCode="_ * #,##0.000_ ;_ * \-#,##0.000_ ;_ * &quot;-&quot;???_ ;_ @_ "/>
  </numFmts>
  <fonts count="19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 tint="-0.1499984740745262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454545"/>
      <name val="Arial"/>
      <family val="2"/>
    </font>
    <font>
      <u/>
      <sz val="11"/>
      <color theme="10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98">
    <xf numFmtId="0" fontId="0" fillId="0" borderId="0" xfId="0"/>
    <xf numFmtId="3" fontId="11" fillId="2" borderId="0" xfId="0" applyNumberFormat="1" applyFont="1" applyFill="1" applyBorder="1" applyProtection="1">
      <protection locked="0"/>
    </xf>
    <xf numFmtId="1" fontId="11" fillId="2" borderId="0" xfId="0" applyNumberFormat="1" applyFont="1" applyFill="1" applyBorder="1" applyProtection="1">
      <protection locked="0"/>
    </xf>
    <xf numFmtId="2" fontId="11" fillId="2" borderId="0" xfId="0" applyNumberFormat="1" applyFont="1" applyFill="1" applyBorder="1" applyProtection="1">
      <protection locked="0"/>
    </xf>
    <xf numFmtId="4" fontId="11" fillId="2" borderId="0" xfId="0" applyNumberFormat="1" applyFont="1" applyFill="1" applyBorder="1" applyProtection="1">
      <protection locked="0"/>
    </xf>
    <xf numFmtId="169" fontId="12" fillId="2" borderId="0" xfId="0" applyNumberFormat="1" applyFont="1" applyFill="1" applyBorder="1" applyAlignment="1" applyProtection="1">
      <alignment horizontal="right"/>
      <protection locked="0"/>
    </xf>
    <xf numFmtId="3" fontId="12" fillId="2" borderId="0" xfId="0" applyNumberFormat="1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165" fontId="11" fillId="2" borderId="0" xfId="0" applyNumberFormat="1" applyFont="1" applyFill="1" applyBorder="1" applyProtection="1">
      <protection locked="0"/>
    </xf>
    <xf numFmtId="165" fontId="11" fillId="2" borderId="0" xfId="0" applyNumberFormat="1" applyFont="1" applyFill="1" applyBorder="1" applyAlignment="1" applyProtection="1">
      <alignment horizontal="right"/>
      <protection locked="0"/>
    </xf>
    <xf numFmtId="0" fontId="13" fillId="2" borderId="2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Protection="1">
      <protection hidden="1"/>
    </xf>
    <xf numFmtId="0" fontId="15" fillId="2" borderId="6" xfId="0" applyFont="1" applyFill="1" applyBorder="1" applyProtection="1">
      <protection hidden="1"/>
    </xf>
    <xf numFmtId="11" fontId="15" fillId="2" borderId="0" xfId="0" applyNumberFormat="1" applyFont="1" applyFill="1" applyBorder="1" applyProtection="1"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164" fontId="15" fillId="2" borderId="0" xfId="0" applyNumberFormat="1" applyFont="1" applyFill="1" applyBorder="1" applyProtection="1">
      <protection hidden="1"/>
    </xf>
    <xf numFmtId="0" fontId="15" fillId="2" borderId="7" xfId="0" applyFont="1" applyFill="1" applyBorder="1" applyProtection="1">
      <protection hidden="1"/>
    </xf>
    <xf numFmtId="166" fontId="15" fillId="0" borderId="0" xfId="1" applyNumberFormat="1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11" fontId="15" fillId="2" borderId="0" xfId="1" applyNumberFormat="1" applyFont="1" applyFill="1" applyBorder="1" applyProtection="1">
      <protection hidden="1"/>
    </xf>
    <xf numFmtId="167" fontId="15" fillId="2" borderId="0" xfId="1" applyNumberFormat="1" applyFont="1" applyFill="1" applyBorder="1" applyProtection="1">
      <protection hidden="1"/>
    </xf>
    <xf numFmtId="0" fontId="15" fillId="2" borderId="6" xfId="0" applyFont="1" applyFill="1" applyBorder="1" applyAlignment="1" applyProtection="1">
      <protection hidden="1"/>
    </xf>
    <xf numFmtId="166" fontId="15" fillId="2" borderId="0" xfId="1" applyNumberFormat="1" applyFont="1" applyFill="1" applyBorder="1" applyProtection="1">
      <protection hidden="1"/>
    </xf>
    <xf numFmtId="4" fontId="15" fillId="2" borderId="7" xfId="0" applyNumberFormat="1" applyFont="1" applyFill="1" applyBorder="1" applyProtection="1">
      <protection hidden="1"/>
    </xf>
    <xf numFmtId="0" fontId="15" fillId="2" borderId="6" xfId="0" applyFont="1" applyFill="1" applyBorder="1" applyAlignment="1" applyProtection="1">
      <alignment horizontal="left"/>
      <protection hidden="1"/>
    </xf>
    <xf numFmtId="4" fontId="15" fillId="2" borderId="0" xfId="0" applyNumberFormat="1" applyFont="1" applyFill="1" applyBorder="1" applyAlignment="1" applyProtection="1">
      <alignment horizontal="left"/>
      <protection hidden="1"/>
    </xf>
    <xf numFmtId="4" fontId="15" fillId="2" borderId="0" xfId="0" applyNumberFormat="1" applyFont="1" applyFill="1" applyBorder="1" applyProtection="1">
      <protection hidden="1"/>
    </xf>
    <xf numFmtId="3" fontId="15" fillId="2" borderId="0" xfId="0" applyNumberFormat="1" applyFont="1" applyFill="1" applyBorder="1" applyProtection="1">
      <protection hidden="1"/>
    </xf>
    <xf numFmtId="0" fontId="5" fillId="2" borderId="6" xfId="4" applyFont="1" applyFill="1" applyBorder="1" applyProtection="1">
      <protection hidden="1"/>
    </xf>
    <xf numFmtId="173" fontId="15" fillId="2" borderId="0" xfId="0" applyNumberFormat="1" applyFont="1" applyFill="1" applyBorder="1" applyProtection="1">
      <protection hidden="1"/>
    </xf>
    <xf numFmtId="165" fontId="4" fillId="2" borderId="7" xfId="0" applyNumberFormat="1" applyFont="1" applyFill="1" applyBorder="1" applyAlignment="1" applyProtection="1">
      <protection hidden="1"/>
    </xf>
    <xf numFmtId="2" fontId="15" fillId="2" borderId="0" xfId="0" applyNumberFormat="1" applyFont="1" applyFill="1" applyBorder="1" applyProtection="1">
      <protection hidden="1"/>
    </xf>
    <xf numFmtId="165" fontId="15" fillId="2" borderId="0" xfId="0" applyNumberFormat="1" applyFont="1" applyFill="1" applyBorder="1" applyAlignment="1" applyProtection="1">
      <alignment horizontal="right"/>
      <protection hidden="1"/>
    </xf>
    <xf numFmtId="168" fontId="4" fillId="2" borderId="7" xfId="0" applyNumberFormat="1" applyFont="1" applyFill="1" applyBorder="1" applyAlignment="1" applyProtection="1">
      <alignment horizontal="left"/>
      <protection hidden="1"/>
    </xf>
    <xf numFmtId="0" fontId="15" fillId="2" borderId="0" xfId="0" applyFont="1" applyFill="1" applyBorder="1" applyAlignment="1" applyProtection="1">
      <alignment horizontal="right"/>
      <protection hidden="1"/>
    </xf>
    <xf numFmtId="1" fontId="15" fillId="2" borderId="0" xfId="0" applyNumberFormat="1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15" fillId="2" borderId="2" xfId="0" applyFont="1" applyFill="1" applyBorder="1" applyProtection="1">
      <protection hidden="1"/>
    </xf>
    <xf numFmtId="11" fontId="15" fillId="2" borderId="1" xfId="0" applyNumberFormat="1" applyFont="1" applyFill="1" applyBorder="1" applyProtection="1">
      <protection hidden="1"/>
    </xf>
    <xf numFmtId="0" fontId="15" fillId="2" borderId="1" xfId="0" applyFont="1" applyFill="1" applyBorder="1" applyAlignment="1" applyProtection="1">
      <alignment horizontal="left"/>
      <protection hidden="1"/>
    </xf>
    <xf numFmtId="4" fontId="15" fillId="2" borderId="1" xfId="0" applyNumberFormat="1" applyFont="1" applyFill="1" applyBorder="1" applyProtection="1">
      <protection hidden="1"/>
    </xf>
    <xf numFmtId="165" fontId="15" fillId="2" borderId="1" xfId="0" applyNumberFormat="1" applyFont="1" applyFill="1" applyBorder="1" applyProtection="1">
      <protection hidden="1"/>
    </xf>
    <xf numFmtId="0" fontId="15" fillId="2" borderId="8" xfId="0" applyFont="1" applyFill="1" applyBorder="1" applyProtection="1">
      <protection hidden="1"/>
    </xf>
    <xf numFmtId="172" fontId="15" fillId="2" borderId="0" xfId="0" applyNumberFormat="1" applyFont="1" applyFill="1" applyBorder="1" applyProtection="1">
      <protection hidden="1"/>
    </xf>
    <xf numFmtId="165" fontId="15" fillId="2" borderId="0" xfId="0" applyNumberFormat="1" applyFont="1" applyFill="1" applyBorder="1" applyProtection="1">
      <protection hidden="1"/>
    </xf>
    <xf numFmtId="4" fontId="4" fillId="2" borderId="7" xfId="0" applyNumberFormat="1" applyFont="1" applyFill="1" applyBorder="1" applyAlignment="1" applyProtection="1">
      <alignment horizontal="left"/>
      <protection hidden="1"/>
    </xf>
    <xf numFmtId="173" fontId="15" fillId="2" borderId="0" xfId="1" applyNumberFormat="1" applyFont="1" applyFill="1" applyBorder="1" applyProtection="1"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4" fillId="2" borderId="6" xfId="0" applyFont="1" applyFill="1" applyBorder="1" applyProtection="1">
      <protection hidden="1"/>
    </xf>
    <xf numFmtId="4" fontId="15" fillId="2" borderId="0" xfId="0" applyNumberFormat="1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Alignment="1" applyProtection="1">
      <protection hidden="1"/>
    </xf>
    <xf numFmtId="0" fontId="15" fillId="2" borderId="7" xfId="0" applyFont="1" applyFill="1" applyBorder="1" applyAlignment="1" applyProtection="1">
      <protection hidden="1"/>
    </xf>
    <xf numFmtId="170" fontId="15" fillId="2" borderId="0" xfId="1" applyNumberFormat="1" applyFont="1" applyFill="1" applyBorder="1" applyProtection="1">
      <protection hidden="1"/>
    </xf>
    <xf numFmtId="165" fontId="15" fillId="2" borderId="7" xfId="0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Protection="1">
      <protection hidden="1"/>
    </xf>
    <xf numFmtId="165" fontId="15" fillId="2" borderId="7" xfId="1" applyNumberFormat="1" applyFont="1" applyFill="1" applyBorder="1" applyAlignment="1" applyProtection="1">
      <alignment horizontal="center"/>
      <protection hidden="1"/>
    </xf>
    <xf numFmtId="171" fontId="15" fillId="0" borderId="0" xfId="0" applyNumberFormat="1" applyFont="1" applyFill="1" applyProtection="1">
      <protection hidden="1"/>
    </xf>
    <xf numFmtId="171" fontId="15" fillId="0" borderId="0" xfId="0" applyNumberFormat="1" applyFont="1" applyFill="1" applyBorder="1" applyProtection="1">
      <protection hidden="1"/>
    </xf>
    <xf numFmtId="43" fontId="15" fillId="2" borderId="0" xfId="1" applyNumberFormat="1" applyFont="1" applyFill="1" applyBorder="1" applyProtection="1">
      <protection hidden="1"/>
    </xf>
    <xf numFmtId="169" fontId="15" fillId="2" borderId="0" xfId="0" applyNumberFormat="1" applyFont="1" applyFill="1" applyBorder="1" applyProtection="1">
      <protection hidden="1"/>
    </xf>
    <xf numFmtId="165" fontId="15" fillId="2" borderId="0" xfId="0" applyNumberFormat="1" applyFont="1" applyFill="1" applyBorder="1" applyAlignment="1" applyProtection="1">
      <protection hidden="1"/>
    </xf>
    <xf numFmtId="0" fontId="4" fillId="2" borderId="0" xfId="3" applyFont="1" applyFill="1" applyBorder="1" applyAlignment="1" applyProtection="1">
      <protection hidden="1"/>
    </xf>
    <xf numFmtId="0" fontId="4" fillId="2" borderId="7" xfId="3" applyFont="1" applyFill="1" applyBorder="1" applyAlignment="1" applyProtection="1">
      <protection hidden="1"/>
    </xf>
    <xf numFmtId="2" fontId="15" fillId="2" borderId="1" xfId="0" applyNumberFormat="1" applyFont="1" applyFill="1" applyBorder="1" applyProtection="1">
      <protection hidden="1"/>
    </xf>
    <xf numFmtId="4" fontId="15" fillId="2" borderId="1" xfId="0" applyNumberFormat="1" applyFont="1" applyFill="1" applyBorder="1" applyAlignment="1" applyProtection="1">
      <alignment horizontal="left"/>
      <protection hidden="1"/>
    </xf>
    <xf numFmtId="0" fontId="15" fillId="2" borderId="1" xfId="0" applyFont="1" applyFill="1" applyBorder="1" applyProtection="1">
      <protection hidden="1"/>
    </xf>
    <xf numFmtId="4" fontId="15" fillId="2" borderId="8" xfId="0" applyNumberFormat="1" applyFont="1" applyFill="1" applyBorder="1" applyProtection="1">
      <protection hidden="1"/>
    </xf>
    <xf numFmtId="3" fontId="15" fillId="0" borderId="0" xfId="0" applyNumberFormat="1" applyFont="1" applyFill="1" applyBorder="1" applyProtection="1">
      <protection hidden="1"/>
    </xf>
    <xf numFmtId="4" fontId="15" fillId="0" borderId="0" xfId="0" applyNumberFormat="1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7" fillId="0" borderId="0" xfId="2" applyFont="1" applyBorder="1" applyAlignment="1" applyProtection="1">
      <protection hidden="1"/>
    </xf>
    <xf numFmtId="4" fontId="15" fillId="0" borderId="0" xfId="0" applyNumberFormat="1" applyFont="1" applyFill="1" applyProtection="1">
      <protection hidden="1"/>
    </xf>
    <xf numFmtId="0" fontId="15" fillId="0" borderId="0" xfId="0" applyFont="1" applyFill="1" applyAlignment="1" applyProtection="1">
      <alignment horizontal="left"/>
      <protection hidden="1"/>
    </xf>
    <xf numFmtId="3" fontId="4" fillId="3" borderId="0" xfId="0" applyNumberFormat="1" applyFont="1" applyFill="1" applyBorder="1" applyProtection="1">
      <protection hidden="1"/>
    </xf>
    <xf numFmtId="4" fontId="15" fillId="3" borderId="0" xfId="0" applyNumberFormat="1" applyFont="1" applyFill="1" applyBorder="1" applyAlignment="1" applyProtection="1">
      <alignment horizontal="left"/>
      <protection hidden="1"/>
    </xf>
    <xf numFmtId="0" fontId="9" fillId="2" borderId="6" xfId="2" applyFill="1" applyBorder="1" applyAlignment="1" applyProtection="1">
      <alignment horizontal="center" vertical="center"/>
      <protection hidden="1"/>
    </xf>
    <xf numFmtId="0" fontId="9" fillId="2" borderId="0" xfId="2" applyFill="1" applyBorder="1" applyAlignment="1" applyProtection="1">
      <alignment horizontal="center" vertical="center"/>
      <protection hidden="1"/>
    </xf>
    <xf numFmtId="0" fontId="9" fillId="2" borderId="7" xfId="2" applyFill="1" applyBorder="1" applyAlignment="1" applyProtection="1">
      <alignment horizontal="center" vertical="center"/>
      <protection hidden="1"/>
    </xf>
    <xf numFmtId="4" fontId="13" fillId="2" borderId="8" xfId="0" applyNumberFormat="1" applyFont="1" applyFill="1" applyBorder="1" applyProtection="1"/>
    <xf numFmtId="0" fontId="0" fillId="2" borderId="10" xfId="0" applyFill="1" applyBorder="1" applyAlignment="1"/>
    <xf numFmtId="0" fontId="0" fillId="2" borderId="11" xfId="0" applyFill="1" applyBorder="1" applyAlignment="1"/>
    <xf numFmtId="0" fontId="15" fillId="2" borderId="9" xfId="0" applyFont="1" applyFill="1" applyBorder="1" applyProtection="1">
      <protection hidden="1"/>
    </xf>
    <xf numFmtId="174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9" fillId="2" borderId="10" xfId="2" applyFill="1" applyBorder="1" applyAlignment="1" applyProtection="1">
      <alignment horizontal="center" vertical="center"/>
      <protection hidden="1"/>
    </xf>
    <xf numFmtId="0" fontId="9" fillId="2" borderId="0" xfId="2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center"/>
      <protection hidden="1"/>
    </xf>
    <xf numFmtId="165" fontId="15" fillId="2" borderId="0" xfId="0" applyNumberFormat="1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/>
      <protection hidden="1"/>
    </xf>
    <xf numFmtId="0" fontId="15" fillId="2" borderId="7" xfId="0" applyFont="1" applyFill="1" applyBorder="1" applyAlignment="1" applyProtection="1">
      <alignment horizontal="center"/>
      <protection hidden="1"/>
    </xf>
    <xf numFmtId="0" fontId="4" fillId="2" borderId="0" xfId="3" applyFont="1" applyFill="1" applyBorder="1" applyAlignment="1" applyProtection="1">
      <alignment horizontal="center"/>
      <protection hidden="1"/>
    </xf>
    <xf numFmtId="0" fontId="4" fillId="2" borderId="7" xfId="3" applyFont="1" applyFill="1" applyBorder="1" applyAlignment="1" applyProtection="1">
      <alignment horizontal="center"/>
      <protection hidden="1"/>
    </xf>
  </cellXfs>
  <cellStyles count="5">
    <cellStyle name="1000-sep (2 dec)" xfId="1" builtinId="3"/>
    <cellStyle name="Hyperlink" xfId="2" builtinId="8"/>
    <cellStyle name="Normal" xfId="0" builtinId="0"/>
    <cellStyle name="Normal_39904" xfId="3"/>
    <cellStyle name="Normal_UnaxCF Standard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workbookViewId="0">
      <selection activeCell="G2" sqref="G2"/>
    </sheetView>
  </sheetViews>
  <sheetFormatPr defaultColWidth="8.85546875" defaultRowHeight="14.25"/>
  <cols>
    <col min="1" max="1" width="51.7109375" style="14" customWidth="1"/>
    <col min="2" max="2" width="19.7109375" style="75" customWidth="1"/>
    <col min="3" max="3" width="15.7109375" style="76" customWidth="1"/>
    <col min="4" max="4" width="20.7109375" style="75" customWidth="1"/>
    <col min="5" max="5" width="20.7109375" style="76" customWidth="1"/>
    <col min="6" max="6" width="28.7109375" style="14" customWidth="1"/>
    <col min="7" max="7" width="28.7109375" style="75" customWidth="1"/>
    <col min="8" max="8" width="13.28515625" style="14" bestFit="1" customWidth="1"/>
    <col min="9" max="9" width="15.28515625" style="14" bestFit="1" customWidth="1"/>
    <col min="10" max="10" width="14.5703125" style="14" bestFit="1" customWidth="1"/>
    <col min="11" max="11" width="13.42578125" style="14" customWidth="1"/>
    <col min="12" max="16384" width="8.85546875" style="14"/>
  </cols>
  <sheetData>
    <row r="1" spans="1:11" ht="30" customHeight="1">
      <c r="A1" s="91" t="s">
        <v>47</v>
      </c>
      <c r="B1" s="92"/>
      <c r="C1" s="92"/>
      <c r="D1" s="92"/>
      <c r="E1" s="92"/>
      <c r="F1" s="92"/>
      <c r="G1" s="93"/>
      <c r="H1" s="13"/>
      <c r="I1" s="13"/>
      <c r="J1" s="13"/>
      <c r="K1" s="13"/>
    </row>
    <row r="2" spans="1:11">
      <c r="A2" s="15" t="s">
        <v>49</v>
      </c>
      <c r="B2" s="16">
        <f>+F2/1000000</f>
        <v>6.9850855153546999E-4</v>
      </c>
      <c r="C2" s="17" t="s">
        <v>1</v>
      </c>
      <c r="D2" s="18"/>
      <c r="E2" s="17"/>
      <c r="F2" s="1">
        <v>698.50855153547002</v>
      </c>
      <c r="G2" s="19" t="s">
        <v>3</v>
      </c>
      <c r="H2" s="20"/>
      <c r="I2" s="21"/>
      <c r="J2" s="20"/>
      <c r="K2" s="21"/>
    </row>
    <row r="3" spans="1:11">
      <c r="A3" s="15" t="s">
        <v>12</v>
      </c>
      <c r="B3" s="22">
        <f>+F3/1000000000</f>
        <v>5.2347598838624621E-8</v>
      </c>
      <c r="C3" s="17" t="s">
        <v>2</v>
      </c>
      <c r="D3" s="23"/>
      <c r="E3" s="17"/>
      <c r="F3" s="2">
        <v>52.34759883862462</v>
      </c>
      <c r="G3" s="19" t="s">
        <v>10</v>
      </c>
      <c r="H3" s="20"/>
      <c r="I3" s="21"/>
      <c r="J3" s="20"/>
      <c r="K3" s="21"/>
    </row>
    <row r="4" spans="1:11">
      <c r="A4" s="24" t="s">
        <v>54</v>
      </c>
      <c r="B4" s="22">
        <f>+F4/1000000000</f>
        <v>1E-10</v>
      </c>
      <c r="C4" s="17" t="s">
        <v>2</v>
      </c>
      <c r="D4" s="96" t="str">
        <f>IF(F4&gt;0,"Spolens øvre grænsefrekvens beregnes","Indsæt værdien for Cp")</f>
        <v>Spolens øvre grænsefrekvens beregnes</v>
      </c>
      <c r="E4" s="96"/>
      <c r="F4" s="3">
        <v>0.1</v>
      </c>
      <c r="G4" s="19" t="s">
        <v>10</v>
      </c>
      <c r="H4" s="21"/>
      <c r="I4" s="21"/>
      <c r="J4" s="20"/>
      <c r="K4" s="21"/>
    </row>
    <row r="5" spans="1:11">
      <c r="A5" s="24" t="s">
        <v>31</v>
      </c>
      <c r="B5" s="16">
        <f>+F5/100</f>
        <v>8.5000000000000006E-2</v>
      </c>
      <c r="C5" s="17" t="s">
        <v>19</v>
      </c>
      <c r="D5" s="25"/>
      <c r="E5" s="17"/>
      <c r="F5" s="3">
        <v>8.5</v>
      </c>
      <c r="G5" s="26" t="s">
        <v>14</v>
      </c>
      <c r="H5" s="21"/>
      <c r="I5" s="21"/>
      <c r="J5" s="20"/>
      <c r="K5" s="21"/>
    </row>
    <row r="6" spans="1:11">
      <c r="A6" s="27" t="s">
        <v>32</v>
      </c>
      <c r="B6" s="16">
        <f>+F6/1000</f>
        <v>0.01</v>
      </c>
      <c r="C6" s="28" t="s">
        <v>19</v>
      </c>
      <c r="D6" s="25"/>
      <c r="E6" s="17"/>
      <c r="F6" s="1">
        <v>10</v>
      </c>
      <c r="G6" s="19" t="s">
        <v>15</v>
      </c>
      <c r="H6" s="21"/>
      <c r="I6" s="21"/>
      <c r="J6" s="20"/>
      <c r="K6" s="21"/>
    </row>
    <row r="7" spans="1:11">
      <c r="A7" s="15" t="s">
        <v>80</v>
      </c>
      <c r="B7" s="29">
        <f>+F7</f>
        <v>4.4000000000000004</v>
      </c>
      <c r="C7" s="17" t="s">
        <v>4</v>
      </c>
      <c r="D7" s="29">
        <f>B10*B18/B19</f>
        <v>4.7786983769676059</v>
      </c>
      <c r="E7" s="17" t="s">
        <v>4</v>
      </c>
      <c r="F7" s="4">
        <v>4.4000000000000004</v>
      </c>
      <c r="G7" s="19" t="s">
        <v>4</v>
      </c>
      <c r="H7" s="21"/>
      <c r="I7" s="21"/>
      <c r="J7" s="20"/>
      <c r="K7" s="21"/>
    </row>
    <row r="8" spans="1:11">
      <c r="A8" s="15" t="s">
        <v>33</v>
      </c>
      <c r="B8" s="30">
        <f>+F8</f>
        <v>44</v>
      </c>
      <c r="C8" s="17"/>
      <c r="D8" s="29"/>
      <c r="E8" s="17"/>
      <c r="F8" s="1">
        <v>44</v>
      </c>
      <c r="G8" s="19"/>
      <c r="H8" s="21"/>
      <c r="I8" s="21"/>
      <c r="J8" s="20"/>
      <c r="K8" s="21"/>
    </row>
    <row r="9" spans="1:11">
      <c r="A9" s="15" t="s">
        <v>58</v>
      </c>
      <c r="B9" s="16">
        <f>+F9/1000</f>
        <v>2.9999999999999997E-4</v>
      </c>
      <c r="C9" s="17" t="s">
        <v>19</v>
      </c>
      <c r="D9" s="29"/>
      <c r="E9" s="17"/>
      <c r="F9" s="4">
        <v>0.3</v>
      </c>
      <c r="G9" s="19" t="s">
        <v>15</v>
      </c>
      <c r="H9" s="21"/>
      <c r="I9" s="21"/>
      <c r="J9" s="20"/>
      <c r="K9" s="21"/>
    </row>
    <row r="10" spans="1:11">
      <c r="A10" s="31" t="str">
        <f>+G10&amp;" "&amp;F10&amp;" "&amp;G16&amp;""</f>
        <v>ρ = specifik modstand for kobber ved stuetemperatur</v>
      </c>
      <c r="B10" s="32">
        <f>VLOOKUP(F10,F11:G15,2)/1000000</f>
        <v>1.6779999999999999E-8</v>
      </c>
      <c r="C10" s="17" t="s">
        <v>56</v>
      </c>
      <c r="D10" s="90" t="s">
        <v>61</v>
      </c>
      <c r="E10" s="90"/>
      <c r="F10" s="11" t="s">
        <v>65</v>
      </c>
      <c r="G10" s="33" t="s">
        <v>83</v>
      </c>
      <c r="H10" s="21"/>
      <c r="K10" s="21"/>
    </row>
    <row r="11" spans="1:11" ht="15">
      <c r="A11" s="24" t="s">
        <v>96</v>
      </c>
      <c r="B11" s="77">
        <f>1/(2*PI()*SQRT(B2*B3))</f>
        <v>26320.00001408394</v>
      </c>
      <c r="C11" s="78" t="s">
        <v>0</v>
      </c>
      <c r="D11" s="34">
        <f>(1/B11)*1000000</f>
        <v>37.993920952313673</v>
      </c>
      <c r="E11" s="17" t="s">
        <v>6</v>
      </c>
      <c r="F11" s="35" t="s">
        <v>64</v>
      </c>
      <c r="G11" s="36">
        <v>2.6550000000000001E-2</v>
      </c>
      <c r="H11" s="21"/>
      <c r="I11" s="21"/>
      <c r="J11" s="20"/>
      <c r="K11" s="21"/>
    </row>
    <row r="12" spans="1:11">
      <c r="A12" s="24" t="s">
        <v>70</v>
      </c>
      <c r="B12" s="25">
        <f>2*PI()*B11*B2</f>
        <v>115.51476020217642</v>
      </c>
      <c r="C12" s="17" t="s">
        <v>4</v>
      </c>
      <c r="D12" s="29"/>
      <c r="E12" s="17"/>
      <c r="F12" s="37" t="s">
        <v>63</v>
      </c>
      <c r="G12" s="36">
        <v>2.24E-2</v>
      </c>
      <c r="H12" s="21"/>
      <c r="I12" s="21"/>
      <c r="J12" s="20"/>
      <c r="K12" s="21"/>
    </row>
    <row r="13" spans="1:11">
      <c r="A13" s="24" t="s">
        <v>69</v>
      </c>
      <c r="B13" s="25">
        <f>1/(2*PI()*B11*B3)</f>
        <v>115.51476020217642</v>
      </c>
      <c r="C13" s="17" t="s">
        <v>4</v>
      </c>
      <c r="D13" s="29"/>
      <c r="E13" s="17"/>
      <c r="F13" s="35" t="s">
        <v>65</v>
      </c>
      <c r="G13" s="36">
        <v>1.678E-2</v>
      </c>
      <c r="H13" s="21"/>
      <c r="K13" s="21"/>
    </row>
    <row r="14" spans="1:11">
      <c r="A14" s="24" t="s">
        <v>51</v>
      </c>
      <c r="B14" s="16">
        <f>+B5*2</f>
        <v>0.17</v>
      </c>
      <c r="C14" s="28" t="s">
        <v>19</v>
      </c>
      <c r="D14" s="29"/>
      <c r="E14" s="17"/>
      <c r="F14" s="35" t="s">
        <v>66</v>
      </c>
      <c r="G14" s="36">
        <v>0.105</v>
      </c>
      <c r="H14" s="21"/>
      <c r="K14" s="21"/>
    </row>
    <row r="15" spans="1:11">
      <c r="A15" s="24" t="s">
        <v>71</v>
      </c>
      <c r="B15" s="16">
        <f>PI()*B5^2/2+(B14*B6)</f>
        <v>1.3049003461093131E-2</v>
      </c>
      <c r="C15" s="17" t="s">
        <v>20</v>
      </c>
      <c r="D15" s="29"/>
      <c r="E15" s="28"/>
      <c r="F15" s="35" t="s">
        <v>67</v>
      </c>
      <c r="G15" s="36">
        <v>1.5859999999999999E-2</v>
      </c>
      <c r="H15" s="21"/>
      <c r="K15" s="21"/>
    </row>
    <row r="16" spans="1:11">
      <c r="A16" s="15" t="s">
        <v>72</v>
      </c>
      <c r="B16" s="38">
        <f>D7/(2*PI()*B2)</f>
        <v>1088.8248491271211</v>
      </c>
      <c r="C16" s="17" t="s">
        <v>0</v>
      </c>
      <c r="D16" s="90" t="s">
        <v>40</v>
      </c>
      <c r="E16" s="90"/>
      <c r="F16" s="39"/>
      <c r="G16" s="19" t="s">
        <v>62</v>
      </c>
      <c r="H16" s="21"/>
      <c r="K16" s="21"/>
    </row>
    <row r="17" spans="1:11">
      <c r="A17" s="15" t="s">
        <v>95</v>
      </c>
      <c r="B17" s="38">
        <f>(1/(2*PI()*SQRT(B2*B4)))/1000</f>
        <v>602.19101033239815</v>
      </c>
      <c r="C17" s="17" t="s">
        <v>30</v>
      </c>
      <c r="D17" s="96" t="str">
        <f>IF(F4&gt;0,"Spolens øvre grænsefrekvens","Indsæt værdien for Cp")</f>
        <v>Spolens øvre grænsefrekvens</v>
      </c>
      <c r="E17" s="96"/>
      <c r="F17" s="39"/>
      <c r="G17" s="19"/>
      <c r="H17" s="21"/>
      <c r="K17" s="21"/>
    </row>
    <row r="18" spans="1:11">
      <c r="A18" s="15" t="s">
        <v>60</v>
      </c>
      <c r="B18" s="34">
        <f>(PI()*(B5+B9/2)+2*(B6+B5))*B8</f>
        <v>20.130291035939521</v>
      </c>
      <c r="C18" s="17" t="s">
        <v>19</v>
      </c>
      <c r="D18" s="29"/>
      <c r="E18" s="17"/>
      <c r="F18" s="39"/>
      <c r="G18" s="19"/>
      <c r="H18" s="21"/>
      <c r="K18" s="21"/>
    </row>
    <row r="19" spans="1:11">
      <c r="A19" s="15" t="s">
        <v>68</v>
      </c>
      <c r="B19" s="16">
        <f>+PI()*B20^2</f>
        <v>7.0685834705770333E-8</v>
      </c>
      <c r="C19" s="17" t="s">
        <v>20</v>
      </c>
      <c r="D19" s="29"/>
      <c r="E19" s="17"/>
      <c r="F19" s="39"/>
      <c r="G19" s="19"/>
      <c r="H19" s="21"/>
      <c r="K19" s="21"/>
    </row>
    <row r="20" spans="1:11" ht="15" thickBot="1">
      <c r="A20" s="40" t="s">
        <v>50</v>
      </c>
      <c r="B20" s="41">
        <f>+B9/2</f>
        <v>1.4999999999999999E-4</v>
      </c>
      <c r="C20" s="42" t="s">
        <v>19</v>
      </c>
      <c r="D20" s="43"/>
      <c r="E20" s="42"/>
      <c r="F20" s="44"/>
      <c r="G20" s="45"/>
      <c r="H20" s="21"/>
      <c r="K20" s="21"/>
    </row>
    <row r="21" spans="1:11" ht="30" customHeight="1">
      <c r="A21" s="91" t="s">
        <v>48</v>
      </c>
      <c r="B21" s="92"/>
      <c r="C21" s="92"/>
      <c r="D21" s="92"/>
      <c r="E21" s="92"/>
      <c r="F21" s="92"/>
      <c r="G21" s="93"/>
      <c r="H21" s="21"/>
      <c r="I21" s="21"/>
      <c r="J21" s="21"/>
      <c r="K21" s="20"/>
    </row>
    <row r="22" spans="1:11">
      <c r="A22" s="15" t="s">
        <v>52</v>
      </c>
      <c r="B22" s="16">
        <f>+F22/1000000</f>
        <v>1.6620566597466315E-3</v>
      </c>
      <c r="C22" s="17" t="s">
        <v>1</v>
      </c>
      <c r="D22" s="18"/>
      <c r="E22" s="17"/>
      <c r="F22" s="1">
        <v>1662.0566597466316</v>
      </c>
      <c r="G22" s="19" t="s">
        <v>3</v>
      </c>
      <c r="H22" s="20"/>
      <c r="I22" s="21"/>
      <c r="J22" s="20"/>
      <c r="K22" s="21"/>
    </row>
    <row r="23" spans="1:11">
      <c r="A23" s="15" t="s">
        <v>13</v>
      </c>
      <c r="B23" s="22">
        <f>+F23/1000000000</f>
        <v>2.1999999999999998E-8</v>
      </c>
      <c r="C23" s="17" t="s">
        <v>2</v>
      </c>
      <c r="D23" s="23"/>
      <c r="E23" s="17"/>
      <c r="F23" s="2">
        <v>22</v>
      </c>
      <c r="G23" s="19" t="s">
        <v>10</v>
      </c>
      <c r="H23" s="20"/>
      <c r="I23" s="21"/>
      <c r="J23" s="20"/>
      <c r="K23" s="21"/>
    </row>
    <row r="24" spans="1:11">
      <c r="A24" s="24" t="s">
        <v>55</v>
      </c>
      <c r="B24" s="22">
        <f>+F24/1000000000</f>
        <v>1E-10</v>
      </c>
      <c r="C24" s="17" t="s">
        <v>2</v>
      </c>
      <c r="D24" s="96" t="str">
        <f>IF(F24&gt;0,"Spolens øvre grænsefrekvens beregnes","Indsæt værdien for Cp")</f>
        <v>Spolens øvre grænsefrekvens beregnes</v>
      </c>
      <c r="E24" s="96"/>
      <c r="F24" s="3">
        <v>0.1</v>
      </c>
      <c r="G24" s="19" t="s">
        <v>10</v>
      </c>
      <c r="H24" s="20"/>
      <c r="I24" s="21"/>
      <c r="J24" s="20"/>
      <c r="K24" s="21"/>
    </row>
    <row r="25" spans="1:11">
      <c r="A25" s="24" t="s">
        <v>31</v>
      </c>
      <c r="B25" s="16">
        <f>+F25/100</f>
        <v>8.5000000000000006E-2</v>
      </c>
      <c r="C25" s="17" t="s">
        <v>19</v>
      </c>
      <c r="D25" s="25"/>
      <c r="E25" s="17"/>
      <c r="F25" s="3">
        <v>8.5</v>
      </c>
      <c r="G25" s="26" t="s">
        <v>14</v>
      </c>
      <c r="H25" s="21"/>
      <c r="I25" s="21"/>
      <c r="J25" s="20"/>
      <c r="K25" s="21"/>
    </row>
    <row r="26" spans="1:11">
      <c r="A26" s="27" t="s">
        <v>32</v>
      </c>
      <c r="B26" s="16">
        <f>+F26/1000</f>
        <v>0.01</v>
      </c>
      <c r="C26" s="28" t="s">
        <v>19</v>
      </c>
      <c r="D26" s="25"/>
      <c r="E26" s="17"/>
      <c r="F26" s="1">
        <v>10</v>
      </c>
      <c r="G26" s="19" t="s">
        <v>15</v>
      </c>
      <c r="H26" s="21"/>
      <c r="I26" s="21"/>
      <c r="J26" s="20"/>
      <c r="K26" s="21"/>
    </row>
    <row r="27" spans="1:11" ht="15">
      <c r="A27" s="15" t="s">
        <v>79</v>
      </c>
      <c r="B27" s="29">
        <f>+F27</f>
        <v>7.2</v>
      </c>
      <c r="C27" s="17" t="s">
        <v>4</v>
      </c>
      <c r="D27" s="29">
        <f>B30*B38/B39</f>
        <v>7.8196882532197183</v>
      </c>
      <c r="E27" s="17" t="s">
        <v>4</v>
      </c>
      <c r="F27" s="4">
        <v>7.2</v>
      </c>
      <c r="G27" s="19" t="s">
        <v>4</v>
      </c>
      <c r="H27" s="21"/>
      <c r="I27" s="21"/>
      <c r="J27" s="20"/>
      <c r="K27" s="21"/>
    </row>
    <row r="28" spans="1:11">
      <c r="A28" s="15" t="s">
        <v>34</v>
      </c>
      <c r="B28" s="30">
        <f>+F28</f>
        <v>72</v>
      </c>
      <c r="C28" s="17"/>
      <c r="D28" s="29"/>
      <c r="E28" s="17"/>
      <c r="F28" s="1">
        <v>72</v>
      </c>
      <c r="G28" s="19"/>
      <c r="H28" s="21"/>
      <c r="I28" s="21"/>
      <c r="J28" s="20"/>
      <c r="K28" s="21"/>
    </row>
    <row r="29" spans="1:11">
      <c r="A29" s="15" t="s">
        <v>58</v>
      </c>
      <c r="B29" s="16">
        <f>+F29/1000</f>
        <v>2.9999999999999997E-4</v>
      </c>
      <c r="C29" s="17" t="s">
        <v>19</v>
      </c>
      <c r="D29" s="29"/>
      <c r="E29" s="17"/>
      <c r="F29" s="4">
        <v>0.3</v>
      </c>
      <c r="G29" s="19" t="s">
        <v>15</v>
      </c>
      <c r="H29" s="21"/>
      <c r="I29" s="21"/>
      <c r="J29" s="20"/>
      <c r="K29" s="21"/>
    </row>
    <row r="30" spans="1:11">
      <c r="A30" s="31" t="str">
        <f>+G30&amp;" "&amp;F30&amp;" "&amp;G36&amp;""</f>
        <v>ρ = specifik modstand for kobber ved stuetemperatur</v>
      </c>
      <c r="B30" s="32">
        <f>VLOOKUP(F30,F31:G35,2)/1000000</f>
        <v>1.6779999999999999E-8</v>
      </c>
      <c r="C30" s="17" t="s">
        <v>56</v>
      </c>
      <c r="D30" s="90" t="s">
        <v>61</v>
      </c>
      <c r="E30" s="90"/>
      <c r="F30" s="11" t="s">
        <v>65</v>
      </c>
      <c r="G30" s="33" t="s">
        <v>83</v>
      </c>
      <c r="H30" s="21"/>
      <c r="I30" s="21"/>
      <c r="J30" s="20"/>
      <c r="K30" s="21"/>
    </row>
    <row r="31" spans="1:11" ht="15">
      <c r="A31" s="24" t="s">
        <v>94</v>
      </c>
      <c r="B31" s="77">
        <f>1/(2*PI()*SQRT(B22*B23))</f>
        <v>26319.999627798938</v>
      </c>
      <c r="C31" s="78" t="s">
        <v>0</v>
      </c>
      <c r="D31" s="46">
        <f>(1/B31)*1000000</f>
        <v>37.993921509930772</v>
      </c>
      <c r="E31" s="17" t="s">
        <v>6</v>
      </c>
      <c r="F31" s="35" t="s">
        <v>64</v>
      </c>
      <c r="G31" s="36">
        <v>2.6550000000000001E-2</v>
      </c>
      <c r="H31" s="21"/>
      <c r="I31" s="21"/>
      <c r="J31" s="20"/>
      <c r="K31" s="21"/>
    </row>
    <row r="32" spans="1:11">
      <c r="A32" s="24" t="s">
        <v>73</v>
      </c>
      <c r="B32" s="25">
        <f>2*PI()*B31*B22</f>
        <v>274.8600188977714</v>
      </c>
      <c r="C32" s="17" t="s">
        <v>4</v>
      </c>
      <c r="D32" s="29"/>
      <c r="E32" s="17"/>
      <c r="F32" s="37" t="s">
        <v>63</v>
      </c>
      <c r="G32" s="36">
        <v>2.24E-2</v>
      </c>
      <c r="H32" s="21"/>
      <c r="I32" s="21"/>
      <c r="J32" s="20"/>
      <c r="K32" s="21"/>
    </row>
    <row r="33" spans="1:11">
      <c r="A33" s="24" t="s">
        <v>74</v>
      </c>
      <c r="B33" s="25">
        <f>1/(2*PI()*B31*B23)</f>
        <v>274.8600188977714</v>
      </c>
      <c r="C33" s="17" t="s">
        <v>4</v>
      </c>
      <c r="D33" s="29"/>
      <c r="E33" s="17"/>
      <c r="F33" s="35" t="s">
        <v>65</v>
      </c>
      <c r="G33" s="36">
        <v>1.678E-2</v>
      </c>
      <c r="H33" s="21"/>
      <c r="I33" s="21"/>
      <c r="J33" s="20"/>
      <c r="K33" s="21"/>
    </row>
    <row r="34" spans="1:11">
      <c r="A34" s="24" t="s">
        <v>51</v>
      </c>
      <c r="B34" s="16">
        <f>+B25*2</f>
        <v>0.17</v>
      </c>
      <c r="C34" s="28" t="s">
        <v>19</v>
      </c>
      <c r="D34" s="25"/>
      <c r="E34" s="17"/>
      <c r="F34" s="35" t="s">
        <v>66</v>
      </c>
      <c r="G34" s="36">
        <v>0.105</v>
      </c>
      <c r="H34" s="21"/>
      <c r="I34" s="21"/>
      <c r="J34" s="20"/>
      <c r="K34" s="21"/>
    </row>
    <row r="35" spans="1:11">
      <c r="A35" s="24" t="s">
        <v>71</v>
      </c>
      <c r="B35" s="16">
        <f>PI()*B25^2/2+(B34*B26)</f>
        <v>1.3049003461093131E-2</v>
      </c>
      <c r="C35" s="17" t="s">
        <v>20</v>
      </c>
      <c r="D35" s="29"/>
      <c r="E35" s="28"/>
      <c r="F35" s="35" t="s">
        <v>67</v>
      </c>
      <c r="G35" s="36">
        <v>1.5859999999999999E-2</v>
      </c>
      <c r="H35" s="21"/>
      <c r="I35" s="21"/>
      <c r="J35" s="20"/>
      <c r="K35" s="21"/>
    </row>
    <row r="36" spans="1:11">
      <c r="A36" s="15" t="s">
        <v>75</v>
      </c>
      <c r="B36" s="38">
        <f>D27/(2*PI()*B22)</f>
        <v>748.79639730649626</v>
      </c>
      <c r="C36" s="17" t="s">
        <v>0</v>
      </c>
      <c r="D36" s="90" t="s">
        <v>40</v>
      </c>
      <c r="E36" s="90"/>
      <c r="F36" s="39"/>
      <c r="G36" s="19" t="s">
        <v>62</v>
      </c>
      <c r="H36" s="21"/>
      <c r="I36" s="21"/>
      <c r="J36" s="20"/>
      <c r="K36" s="21"/>
    </row>
    <row r="37" spans="1:11">
      <c r="A37" s="15" t="s">
        <v>93</v>
      </c>
      <c r="B37" s="38">
        <f>(1/(2*PI()*SQRT(B22*B24)))/1000</f>
        <v>390.38868284008174</v>
      </c>
      <c r="C37" s="17" t="s">
        <v>30</v>
      </c>
      <c r="D37" s="96" t="str">
        <f>IF(F24&gt;0,"Spolens øvre grænsefrekvens","Indsæt værdien for Cp")</f>
        <v>Spolens øvre grænsefrekvens</v>
      </c>
      <c r="E37" s="96"/>
      <c r="F37" s="39"/>
      <c r="G37" s="19"/>
      <c r="H37" s="21"/>
      <c r="I37" s="21"/>
      <c r="J37" s="20"/>
      <c r="K37" s="21"/>
    </row>
    <row r="38" spans="1:11">
      <c r="A38" s="15" t="s">
        <v>60</v>
      </c>
      <c r="B38" s="34">
        <f>(PI()*(B25+B29/2)+2*(B26+B25))*B28</f>
        <v>32.940476240628307</v>
      </c>
      <c r="C38" s="17" t="s">
        <v>19</v>
      </c>
      <c r="D38" s="29"/>
      <c r="E38" s="17"/>
      <c r="F38" s="47"/>
      <c r="G38" s="19"/>
      <c r="H38" s="21"/>
      <c r="I38" s="21"/>
      <c r="J38" s="20"/>
      <c r="K38" s="21"/>
    </row>
    <row r="39" spans="1:11">
      <c r="A39" s="15" t="s">
        <v>68</v>
      </c>
      <c r="B39" s="16">
        <f>+PI()*B40^2</f>
        <v>7.0685834705770333E-8</v>
      </c>
      <c r="C39" s="17" t="s">
        <v>20</v>
      </c>
      <c r="D39" s="29"/>
      <c r="E39" s="17"/>
      <c r="F39" s="47"/>
      <c r="G39" s="19"/>
      <c r="H39" s="21"/>
      <c r="I39" s="21"/>
      <c r="J39" s="20"/>
      <c r="K39" s="21"/>
    </row>
    <row r="40" spans="1:11" ht="15" thickBot="1">
      <c r="A40" s="40" t="s">
        <v>50</v>
      </c>
      <c r="B40" s="41">
        <f>+B29/2</f>
        <v>1.4999999999999999E-4</v>
      </c>
      <c r="C40" s="42" t="s">
        <v>19</v>
      </c>
      <c r="D40" s="43"/>
      <c r="E40" s="42"/>
      <c r="F40" s="44"/>
      <c r="G40" s="45"/>
      <c r="H40" s="21"/>
      <c r="I40" s="21"/>
      <c r="J40" s="20"/>
      <c r="K40" s="21"/>
    </row>
    <row r="41" spans="1:11" ht="30" customHeight="1">
      <c r="A41" s="91" t="s">
        <v>53</v>
      </c>
      <c r="B41" s="92"/>
      <c r="C41" s="92"/>
      <c r="D41" s="92"/>
      <c r="E41" s="92"/>
      <c r="F41" s="92"/>
      <c r="G41" s="93"/>
      <c r="H41" s="13"/>
      <c r="I41" s="13"/>
      <c r="J41" s="13"/>
      <c r="K41" s="13"/>
    </row>
    <row r="42" spans="1:11" ht="15">
      <c r="A42" s="15" t="s">
        <v>85</v>
      </c>
      <c r="B42" s="32">
        <f>B47*B55*B49^2*D48</f>
        <v>1.6379999999999995E-3</v>
      </c>
      <c r="C42" s="17" t="s">
        <v>1</v>
      </c>
      <c r="D42" s="25">
        <f>+B42*1000000</f>
        <v>1637.9999999999995</v>
      </c>
      <c r="E42" s="39" t="s">
        <v>3</v>
      </c>
      <c r="F42" s="39" t="s">
        <v>22</v>
      </c>
      <c r="G42" s="48" t="s">
        <v>41</v>
      </c>
      <c r="K42" s="21"/>
    </row>
    <row r="43" spans="1:11" ht="15">
      <c r="A43" s="15" t="s">
        <v>86</v>
      </c>
      <c r="B43" s="49">
        <f>PI()/4*((B47*B55^2*B49^2)/(B59+(0.45*B55)))</f>
        <v>1.5105245381617852E-3</v>
      </c>
      <c r="C43" s="28" t="s">
        <v>1</v>
      </c>
      <c r="D43" s="25">
        <f>+B43*1000000</f>
        <v>1510.5245381617851</v>
      </c>
      <c r="E43" s="39" t="s">
        <v>3</v>
      </c>
      <c r="F43" s="39" t="s">
        <v>27</v>
      </c>
      <c r="G43" s="50" t="str">
        <f>IF(G49&gt;=G50,"Brug denne formel",IF(G49&lt;=G51,"Bruges ikke","All formler kan bruges"))</f>
        <v>Bruges ikke</v>
      </c>
      <c r="I43" s="51"/>
      <c r="K43" s="21"/>
    </row>
    <row r="44" spans="1:11">
      <c r="A44" s="15" t="s">
        <v>87</v>
      </c>
      <c r="B44" s="49">
        <f>(B47*B55*B49^2/2)*LN(2.43*B55/B59)</f>
        <v>1.6379007776129851E-3</v>
      </c>
      <c r="C44" s="28" t="s">
        <v>1</v>
      </c>
      <c r="D44" s="25">
        <f>+B44*1000000</f>
        <v>1637.9007776129852</v>
      </c>
      <c r="E44" s="39" t="s">
        <v>3</v>
      </c>
      <c r="F44" s="39" t="s">
        <v>27</v>
      </c>
      <c r="G44" s="50" t="str">
        <f>IF(G49&lt;=G51,"Brug denne formel",IF(G49&gt;=G50,"Bruges ikke","All formler kan bruges"))</f>
        <v>Brug denne formel</v>
      </c>
      <c r="K44" s="21"/>
    </row>
    <row r="45" spans="1:11">
      <c r="A45" s="15" t="s">
        <v>89</v>
      </c>
      <c r="B45" s="49">
        <f>(B47*B57*B49^2)/(B59+(0.45*B55))</f>
        <v>1.5105245381617852E-3</v>
      </c>
      <c r="C45" s="28" t="s">
        <v>1</v>
      </c>
      <c r="D45" s="25">
        <f>+B45*1000000</f>
        <v>1510.5245381617851</v>
      </c>
      <c r="E45" s="39" t="s">
        <v>3</v>
      </c>
      <c r="F45" s="39" t="s">
        <v>26</v>
      </c>
      <c r="G45" s="50" t="str">
        <f>IF(G49&gt;=G50,"Brug denne formel",IF(G49&lt;=G51,"Bruges ikke","All formler kan bruges"))</f>
        <v>Bruges ikke</v>
      </c>
      <c r="K45" s="21"/>
    </row>
    <row r="46" spans="1:11">
      <c r="A46" s="15" t="s">
        <v>88</v>
      </c>
      <c r="B46" s="49">
        <f>(B47*B58*B49^2)/(B59+(0.45*B55))</f>
        <v>8.6819589064756318E-4</v>
      </c>
      <c r="C46" s="28" t="s">
        <v>1</v>
      </c>
      <c r="D46" s="25">
        <f>+B46*1000000</f>
        <v>868.19589064756315</v>
      </c>
      <c r="E46" s="39" t="s">
        <v>3</v>
      </c>
      <c r="F46" s="39" t="s">
        <v>25</v>
      </c>
      <c r="G46" s="26"/>
      <c r="K46" s="21"/>
    </row>
    <row r="47" spans="1:11" ht="15">
      <c r="A47" s="15" t="s">
        <v>84</v>
      </c>
      <c r="B47" s="32">
        <f>4*PI()*10^-7</f>
        <v>1.2566370614359173E-6</v>
      </c>
      <c r="C47" s="17" t="s">
        <v>17</v>
      </c>
      <c r="D47" s="39"/>
      <c r="E47" s="17"/>
      <c r="F47" s="29" t="s">
        <v>21</v>
      </c>
      <c r="G47" s="26"/>
      <c r="H47" s="21"/>
      <c r="I47" s="21"/>
      <c r="K47" s="21"/>
    </row>
    <row r="48" spans="1:11" ht="15">
      <c r="A48" s="52" t="s">
        <v>18</v>
      </c>
      <c r="B48" s="53"/>
      <c r="C48" s="53"/>
      <c r="D48" s="5">
        <v>1.4764692027715052</v>
      </c>
      <c r="E48" s="17"/>
      <c r="F48" s="54" t="s">
        <v>42</v>
      </c>
      <c r="G48" s="55"/>
      <c r="H48" s="21"/>
      <c r="I48" s="21"/>
      <c r="K48" s="21"/>
    </row>
    <row r="49" spans="1:11" ht="15">
      <c r="A49" s="15" t="s">
        <v>36</v>
      </c>
      <c r="B49" s="30">
        <f>+D49</f>
        <v>72</v>
      </c>
      <c r="C49" s="17"/>
      <c r="D49" s="6">
        <v>72</v>
      </c>
      <c r="E49" s="17"/>
      <c r="F49" s="56" t="s">
        <v>29</v>
      </c>
      <c r="G49" s="57">
        <f>+B59</f>
        <v>2.1599999999999998E-2</v>
      </c>
      <c r="H49" s="21"/>
      <c r="I49" s="21"/>
      <c r="K49" s="21"/>
    </row>
    <row r="50" spans="1:11" ht="15">
      <c r="A50" s="15" t="s">
        <v>23</v>
      </c>
      <c r="B50" s="32">
        <f>+D50/1000</f>
        <v>0.17</v>
      </c>
      <c r="C50" s="17" t="s">
        <v>19</v>
      </c>
      <c r="D50" s="7">
        <v>170</v>
      </c>
      <c r="E50" s="29" t="s">
        <v>15</v>
      </c>
      <c r="F50" s="39" t="s">
        <v>90</v>
      </c>
      <c r="G50" s="59">
        <f>0.4*B55</f>
        <v>6.812E-2</v>
      </c>
      <c r="I50" s="60"/>
      <c r="K50" s="21"/>
    </row>
    <row r="51" spans="1:11" ht="15">
      <c r="A51" s="15" t="s">
        <v>58</v>
      </c>
      <c r="B51" s="32">
        <f>+D51/1000</f>
        <v>2.9999999999999997E-4</v>
      </c>
      <c r="C51" s="17" t="s">
        <v>19</v>
      </c>
      <c r="D51" s="7">
        <v>0.3</v>
      </c>
      <c r="E51" s="29" t="s">
        <v>15</v>
      </c>
      <c r="F51" s="39" t="s">
        <v>91</v>
      </c>
      <c r="G51" s="57">
        <f>0.35*B55</f>
        <v>5.9604999999999998E-2</v>
      </c>
      <c r="I51" s="61"/>
      <c r="J51" s="21"/>
      <c r="K51" s="21"/>
    </row>
    <row r="52" spans="1:11" ht="15">
      <c r="A52" s="15" t="s">
        <v>76</v>
      </c>
      <c r="B52" s="32">
        <f>+PI()*B53^2/1000000</f>
        <v>7.0685834705770346E-8</v>
      </c>
      <c r="C52" s="17" t="s">
        <v>20</v>
      </c>
      <c r="D52" s="58"/>
      <c r="E52" s="29"/>
      <c r="F52" s="39"/>
      <c r="G52" s="59"/>
      <c r="I52" s="61"/>
      <c r="J52" s="21"/>
      <c r="K52" s="21"/>
    </row>
    <row r="53" spans="1:11" ht="15">
      <c r="A53" s="15" t="s">
        <v>45</v>
      </c>
      <c r="B53" s="32">
        <f>+D51/2</f>
        <v>0.15</v>
      </c>
      <c r="C53" s="17" t="s">
        <v>15</v>
      </c>
      <c r="D53" s="58"/>
      <c r="E53" s="29"/>
      <c r="F53" s="39"/>
      <c r="G53" s="59"/>
      <c r="I53" s="61"/>
      <c r="J53" s="21"/>
      <c r="K53" s="21"/>
    </row>
    <row r="54" spans="1:11" ht="15">
      <c r="A54" s="15" t="str">
        <f>+A30</f>
        <v>ρ = specifik modstand for kobber ved stuetemperatur</v>
      </c>
      <c r="B54" s="32">
        <f>+B30</f>
        <v>1.6779999999999999E-8</v>
      </c>
      <c r="C54" s="17" t="s">
        <v>56</v>
      </c>
      <c r="D54" s="58"/>
      <c r="E54" s="29"/>
      <c r="F54" s="39"/>
      <c r="G54" s="59"/>
      <c r="I54" s="61"/>
      <c r="J54" s="21"/>
      <c r="K54" s="21"/>
    </row>
    <row r="55" spans="1:11">
      <c r="A55" s="15" t="s">
        <v>28</v>
      </c>
      <c r="B55" s="32">
        <f>+B50+B51</f>
        <v>0.17030000000000001</v>
      </c>
      <c r="C55" s="17" t="s">
        <v>19</v>
      </c>
      <c r="D55" s="32"/>
      <c r="E55" s="28"/>
      <c r="F55" s="39"/>
      <c r="G55" s="59"/>
      <c r="I55" s="21"/>
      <c r="J55" s="21"/>
      <c r="K55" s="21"/>
    </row>
    <row r="56" spans="1:11">
      <c r="A56" s="15" t="s">
        <v>16</v>
      </c>
      <c r="B56" s="32">
        <f>B55/2</f>
        <v>8.5150000000000003E-2</v>
      </c>
      <c r="C56" s="17" t="s">
        <v>19</v>
      </c>
      <c r="D56" s="34"/>
      <c r="E56" s="28"/>
      <c r="F56" s="39"/>
      <c r="G56" s="19"/>
      <c r="H56" s="21"/>
      <c r="I56" s="21"/>
      <c r="J56" s="21"/>
      <c r="K56" s="21"/>
    </row>
    <row r="57" spans="1:11">
      <c r="A57" s="15" t="s">
        <v>77</v>
      </c>
      <c r="B57" s="32">
        <f>PI()*B56^2</f>
        <v>2.2778188220687501E-2</v>
      </c>
      <c r="C57" s="17" t="s">
        <v>20</v>
      </c>
      <c r="D57" s="62"/>
      <c r="E57" s="28"/>
      <c r="F57" s="63"/>
      <c r="G57" s="26"/>
      <c r="H57" s="20"/>
      <c r="I57" s="21"/>
      <c r="J57" s="21"/>
      <c r="K57" s="21"/>
    </row>
    <row r="58" spans="1:11">
      <c r="A58" s="15" t="s">
        <v>24</v>
      </c>
      <c r="B58" s="32">
        <f>(PI()*B56^2/2)+(B55*B65)</f>
        <v>1.309209411034375E-2</v>
      </c>
      <c r="C58" s="17" t="s">
        <v>20</v>
      </c>
      <c r="D58" s="62"/>
      <c r="E58" s="28"/>
      <c r="F58" s="63"/>
      <c r="G58" s="26"/>
      <c r="H58" s="21"/>
      <c r="I58" s="21"/>
      <c r="K58" s="21"/>
    </row>
    <row r="59" spans="1:11">
      <c r="A59" s="15" t="s">
        <v>46</v>
      </c>
      <c r="B59" s="32">
        <f>+B51*B49</f>
        <v>2.1599999999999998E-2</v>
      </c>
      <c r="C59" s="17" t="s">
        <v>19</v>
      </c>
      <c r="D59" s="29"/>
      <c r="E59" s="17"/>
      <c r="F59" s="39"/>
      <c r="G59" s="26"/>
      <c r="I59" s="21"/>
    </row>
    <row r="60" spans="1:11">
      <c r="A60" s="15" t="s">
        <v>81</v>
      </c>
      <c r="B60" s="29">
        <f>+B54*B66/B52</f>
        <v>9.1283200000000004</v>
      </c>
      <c r="C60" s="17" t="s">
        <v>4</v>
      </c>
      <c r="D60" s="29"/>
      <c r="E60" s="17"/>
      <c r="F60" s="39"/>
      <c r="G60" s="26"/>
      <c r="I60" s="21"/>
    </row>
    <row r="61" spans="1:11">
      <c r="A61" s="15" t="s">
        <v>82</v>
      </c>
      <c r="B61" s="29">
        <f>+B54*B67/B52</f>
        <v>7.8196882532197183</v>
      </c>
      <c r="C61" s="17" t="s">
        <v>4</v>
      </c>
      <c r="D61" s="29"/>
      <c r="E61" s="17"/>
      <c r="F61" s="39"/>
      <c r="G61" s="26"/>
      <c r="I61" s="21"/>
    </row>
    <row r="62" spans="1:11">
      <c r="A62" s="15" t="s">
        <v>78</v>
      </c>
      <c r="B62" s="38">
        <f>B60/(2*PI()*B44)</f>
        <v>886.9995484353401</v>
      </c>
      <c r="C62" s="17" t="s">
        <v>0</v>
      </c>
      <c r="D62" s="64"/>
      <c r="E62" s="64"/>
      <c r="F62" s="64" t="s">
        <v>40</v>
      </c>
      <c r="G62" s="26"/>
      <c r="I62" s="21"/>
    </row>
    <row r="63" spans="1:11">
      <c r="A63" s="15" t="s">
        <v>92</v>
      </c>
      <c r="B63" s="38">
        <f>(1/(2*PI()*SQRT(B44*B64)))/1000</f>
        <v>393.25688704649133</v>
      </c>
      <c r="C63" s="17" t="s">
        <v>30</v>
      </c>
      <c r="D63" s="65"/>
      <c r="E63" s="65"/>
      <c r="F63" s="65" t="str">
        <f>IF(D64&gt;0,"Spolens øvre grænsefrekvens beregnes","Indsæt værdien for Cp")</f>
        <v>Spolens øvre grænsefrekvens beregnes</v>
      </c>
      <c r="G63" s="26"/>
      <c r="I63" s="21"/>
    </row>
    <row r="64" spans="1:11">
      <c r="A64" s="24" t="s">
        <v>57</v>
      </c>
      <c r="B64" s="22">
        <f>+D64/1000000000</f>
        <v>1E-10</v>
      </c>
      <c r="C64" s="17" t="s">
        <v>2</v>
      </c>
      <c r="D64" s="3">
        <v>0.1</v>
      </c>
      <c r="E64" s="39" t="s">
        <v>10</v>
      </c>
      <c r="F64" s="65" t="str">
        <f>IF(D64&gt;0,"Spolens øvre grænsefrekvens beregnes","Indsæt værdien for Cp")</f>
        <v>Spolens øvre grænsefrekvens beregnes</v>
      </c>
      <c r="G64" s="66"/>
      <c r="I64" s="21"/>
    </row>
    <row r="65" spans="1:11">
      <c r="A65" s="27" t="s">
        <v>35</v>
      </c>
      <c r="B65" s="16">
        <f>+D65/1000</f>
        <v>0.01</v>
      </c>
      <c r="C65" s="17" t="s">
        <v>19</v>
      </c>
      <c r="D65" s="1">
        <v>10</v>
      </c>
      <c r="E65" s="17" t="s">
        <v>15</v>
      </c>
      <c r="F65" s="39"/>
      <c r="G65" s="26"/>
      <c r="I65" s="21"/>
    </row>
    <row r="66" spans="1:11">
      <c r="A66" s="15" t="s">
        <v>43</v>
      </c>
      <c r="B66" s="34">
        <f>+((PI()*B50*B49)+(D66/1000))</f>
        <v>38.453094079939078</v>
      </c>
      <c r="C66" s="17" t="s">
        <v>19</v>
      </c>
      <c r="D66" s="8">
        <v>0</v>
      </c>
      <c r="E66" s="29" t="s">
        <v>15</v>
      </c>
      <c r="F66" s="39" t="s">
        <v>37</v>
      </c>
      <c r="G66" s="26"/>
      <c r="H66" s="21"/>
      <c r="I66" s="21"/>
      <c r="J66" s="21"/>
    </row>
    <row r="67" spans="1:11" ht="15" thickBot="1">
      <c r="A67" s="40" t="s">
        <v>44</v>
      </c>
      <c r="B67" s="67">
        <f>+((PI()*B56)+B50+(2*B65))*B49+(D67/1000)</f>
        <v>32.940476240628314</v>
      </c>
      <c r="C67" s="68" t="s">
        <v>19</v>
      </c>
      <c r="D67" s="9">
        <v>0</v>
      </c>
      <c r="E67" s="43" t="s">
        <v>15</v>
      </c>
      <c r="F67" s="69" t="s">
        <v>37</v>
      </c>
      <c r="G67" s="70"/>
      <c r="H67" s="21"/>
      <c r="I67" s="21"/>
      <c r="J67" s="21"/>
      <c r="K67" s="21"/>
    </row>
    <row r="68" spans="1:11" ht="30" customHeight="1">
      <c r="A68" s="91" t="s">
        <v>38</v>
      </c>
      <c r="B68" s="92"/>
      <c r="C68" s="92"/>
      <c r="D68" s="92"/>
      <c r="E68" s="92"/>
      <c r="F68" s="92"/>
      <c r="G68" s="93"/>
      <c r="H68" s="21"/>
      <c r="I68" s="21"/>
      <c r="J68" s="21"/>
      <c r="K68" s="21"/>
    </row>
    <row r="69" spans="1:11">
      <c r="A69" s="24" t="s">
        <v>11</v>
      </c>
      <c r="B69" s="54"/>
      <c r="C69" s="17"/>
      <c r="D69" s="38">
        <f>1/((B70+B71)*B72)</f>
        <v>112.22430136444551</v>
      </c>
      <c r="E69" s="28" t="s">
        <v>0</v>
      </c>
      <c r="F69" s="30">
        <f>(1/D69)*1000000</f>
        <v>8910.7259999999987</v>
      </c>
      <c r="G69" s="19" t="s">
        <v>6</v>
      </c>
      <c r="H69" s="71"/>
      <c r="I69" s="21"/>
      <c r="J69" s="20"/>
      <c r="K69" s="21"/>
    </row>
    <row r="70" spans="1:11">
      <c r="A70" s="15" t="s">
        <v>9</v>
      </c>
      <c r="B70" s="25">
        <f>+D70*1000</f>
        <v>270000</v>
      </c>
      <c r="C70" s="17" t="s">
        <v>4</v>
      </c>
      <c r="D70" s="1">
        <v>270</v>
      </c>
      <c r="E70" s="17" t="s">
        <v>5</v>
      </c>
      <c r="F70" s="94" t="s">
        <v>39</v>
      </c>
      <c r="G70" s="95"/>
      <c r="H70" s="21"/>
      <c r="I70" s="21"/>
      <c r="J70" s="21"/>
      <c r="K70" s="21"/>
    </row>
    <row r="71" spans="1:11">
      <c r="A71" s="15" t="s">
        <v>8</v>
      </c>
      <c r="B71" s="25">
        <f>+D71*1000</f>
        <v>22</v>
      </c>
      <c r="C71" s="17" t="s">
        <v>4</v>
      </c>
      <c r="D71" s="10">
        <v>2.1999999999999999E-2</v>
      </c>
      <c r="E71" s="17" t="s">
        <v>5</v>
      </c>
      <c r="F71" s="96" t="str">
        <f>IF(F69&gt;=D11,"Correct","Wrong")</f>
        <v>Correct</v>
      </c>
      <c r="G71" s="97"/>
      <c r="I71" s="21"/>
      <c r="J71" s="21"/>
      <c r="K71" s="21"/>
    </row>
    <row r="72" spans="1:11" ht="15" thickBot="1">
      <c r="A72" s="15" t="s">
        <v>7</v>
      </c>
      <c r="B72" s="16">
        <f>+D72/1000000000</f>
        <v>3.2999999999999998E-8</v>
      </c>
      <c r="C72" s="17" t="s">
        <v>2</v>
      </c>
      <c r="D72" s="3">
        <v>33</v>
      </c>
      <c r="E72" s="39" t="s">
        <v>10</v>
      </c>
      <c r="F72" s="96" t="str">
        <f>IF(F69&gt;=D31,"Correct","Wrong")</f>
        <v>Correct</v>
      </c>
      <c r="G72" s="97"/>
      <c r="I72" s="21"/>
      <c r="J72" s="20"/>
      <c r="K72" s="21"/>
    </row>
    <row r="73" spans="1:11" ht="14.45" customHeight="1">
      <c r="A73" s="85"/>
      <c r="B73" s="87" t="s">
        <v>59</v>
      </c>
      <c r="C73" s="87"/>
      <c r="D73" s="87"/>
      <c r="E73" s="83"/>
      <c r="F73" s="83"/>
      <c r="G73" s="84"/>
      <c r="H73" s="21"/>
      <c r="I73" s="21"/>
      <c r="J73" s="21"/>
      <c r="K73" s="21"/>
    </row>
    <row r="74" spans="1:11" ht="14.45" customHeight="1">
      <c r="A74" s="79"/>
      <c r="B74" s="80"/>
      <c r="C74" s="39"/>
      <c r="D74" s="80"/>
      <c r="E74" s="80"/>
      <c r="F74" s="80"/>
      <c r="G74" s="81"/>
      <c r="H74" s="21"/>
      <c r="I74" s="21"/>
      <c r="J74" s="21"/>
      <c r="K74" s="21"/>
    </row>
    <row r="75" spans="1:11" ht="14.45" customHeight="1">
      <c r="A75" s="79"/>
      <c r="B75" s="86"/>
      <c r="C75" s="86"/>
      <c r="D75" s="86"/>
      <c r="E75" s="80"/>
      <c r="F75" s="80"/>
      <c r="G75" s="81"/>
      <c r="H75" s="21"/>
      <c r="I75" s="21"/>
      <c r="J75" s="21"/>
      <c r="K75" s="21"/>
    </row>
    <row r="76" spans="1:11" ht="14.45" customHeight="1">
      <c r="A76" s="79"/>
      <c r="B76" s="86" t="s">
        <v>99</v>
      </c>
      <c r="C76" s="86"/>
      <c r="D76" s="86"/>
      <c r="E76" s="80"/>
      <c r="F76" s="80"/>
      <c r="G76" s="81"/>
      <c r="H76" s="21"/>
      <c r="I76" s="21"/>
      <c r="J76" s="21"/>
      <c r="K76" s="21"/>
    </row>
    <row r="77" spans="1:11" ht="14.45" customHeight="1">
      <c r="A77" s="79"/>
      <c r="B77" s="88" t="s">
        <v>100</v>
      </c>
      <c r="C77" s="88"/>
      <c r="D77" s="88"/>
      <c r="E77" s="80"/>
      <c r="F77" s="80"/>
      <c r="G77" s="81"/>
      <c r="H77" s="21"/>
      <c r="I77" s="21"/>
      <c r="J77" s="21"/>
      <c r="K77" s="21"/>
    </row>
    <row r="78" spans="1:11" ht="14.45" customHeight="1">
      <c r="A78" s="79"/>
      <c r="B78" s="89" t="s">
        <v>101</v>
      </c>
      <c r="C78" s="89"/>
      <c r="D78" s="89"/>
      <c r="E78" s="80"/>
      <c r="F78" s="80"/>
      <c r="G78" s="81"/>
      <c r="H78" s="21"/>
      <c r="I78" s="21"/>
      <c r="J78" s="21"/>
      <c r="K78" s="21"/>
    </row>
    <row r="79" spans="1:11" ht="14.45" customHeight="1">
      <c r="A79" s="79"/>
      <c r="B79" s="80"/>
      <c r="C79" s="80"/>
      <c r="D79" s="80"/>
      <c r="E79" s="80"/>
      <c r="F79" s="80"/>
      <c r="G79" s="81"/>
      <c r="H79" s="21"/>
      <c r="I79" s="21"/>
      <c r="J79" s="21"/>
      <c r="K79" s="21"/>
    </row>
    <row r="80" spans="1:11" ht="15" thickBot="1">
      <c r="A80" s="12" t="s">
        <v>97</v>
      </c>
      <c r="B80" s="43"/>
      <c r="C80" s="42"/>
      <c r="D80" s="43"/>
      <c r="E80" s="42"/>
      <c r="F80" s="69"/>
      <c r="G80" s="82" t="s">
        <v>98</v>
      </c>
      <c r="H80" s="21"/>
      <c r="I80" s="21"/>
      <c r="J80" s="21"/>
      <c r="K80" s="21"/>
    </row>
    <row r="81" spans="1:11">
      <c r="A81" s="21"/>
      <c r="B81" s="72"/>
      <c r="C81" s="73"/>
      <c r="D81" s="71"/>
      <c r="E81" s="73"/>
      <c r="F81" s="21"/>
      <c r="G81" s="72"/>
      <c r="H81" s="21"/>
      <c r="I81" s="21"/>
      <c r="J81" s="21"/>
      <c r="K81" s="21"/>
    </row>
    <row r="82" spans="1:11">
      <c r="B82" s="14"/>
      <c r="C82" s="73"/>
      <c r="D82" s="72"/>
      <c r="E82" s="73"/>
      <c r="F82" s="21"/>
      <c r="G82" s="72"/>
      <c r="H82" s="21"/>
      <c r="I82" s="21"/>
      <c r="J82" s="21"/>
      <c r="K82" s="21"/>
    </row>
    <row r="83" spans="1:11">
      <c r="A83" s="74"/>
      <c r="B83" s="72"/>
      <c r="C83" s="73"/>
      <c r="D83" s="72"/>
      <c r="E83" s="73"/>
      <c r="F83" s="21"/>
      <c r="G83" s="72"/>
      <c r="H83" s="21"/>
      <c r="I83" s="21"/>
      <c r="J83" s="21"/>
      <c r="K83" s="21"/>
    </row>
  </sheetData>
  <mergeCells count="20">
    <mergeCell ref="F72:G72"/>
    <mergeCell ref="A1:G1"/>
    <mergeCell ref="A41:G41"/>
    <mergeCell ref="A21:G21"/>
    <mergeCell ref="D17:E17"/>
    <mergeCell ref="D16:E16"/>
    <mergeCell ref="D4:E4"/>
    <mergeCell ref="D24:E24"/>
    <mergeCell ref="D36:E36"/>
    <mergeCell ref="D37:E37"/>
    <mergeCell ref="D10:E10"/>
    <mergeCell ref="D30:E30"/>
    <mergeCell ref="A68:G68"/>
    <mergeCell ref="F70:G70"/>
    <mergeCell ref="F71:G71"/>
    <mergeCell ref="B75:D75"/>
    <mergeCell ref="B73:D73"/>
    <mergeCell ref="B76:D76"/>
    <mergeCell ref="B77:D77"/>
    <mergeCell ref="B78:D78"/>
  </mergeCells>
  <hyperlinks>
    <hyperlink ref="B7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Spoler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2011-04-04T18:49:58Z</dcterms:created>
  <dcterms:modified xsi:type="dcterms:W3CDTF">2018-09-19T20:15:04Z</dcterms:modified>
</cp:coreProperties>
</file>