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1355" windowHeight="7425"/>
  </bookViews>
  <sheets>
    <sheet name="Resonance" sheetId="1" r:id="rId1"/>
    <sheet name="Ferrite Rod" sheetId="2" r:id="rId2"/>
    <sheet name="Skin Effekt R" sheetId="3" r:id="rId3"/>
    <sheet name="Skin Effekt FR" sheetId="4" r:id="rId4"/>
  </sheets>
  <calcPr calcId="125725"/>
</workbook>
</file>

<file path=xl/calcChain.xml><?xml version="1.0" encoding="utf-8"?>
<calcChain xmlns="http://schemas.openxmlformats.org/spreadsheetml/2006/main">
  <c r="R29" i="1"/>
  <c r="K32" i="4"/>
  <c r="M18" i="2"/>
  <c r="O13"/>
  <c r="N8" i="4"/>
  <c r="N31" s="1"/>
  <c r="B5"/>
  <c r="B28" s="1"/>
  <c r="B12" i="3"/>
  <c r="N15"/>
  <c r="L27" i="1"/>
  <c r="K34"/>
  <c r="K33"/>
  <c r="O24"/>
  <c r="K25"/>
  <c r="K29"/>
  <c r="K32"/>
  <c r="K31"/>
  <c r="K30"/>
  <c r="L29"/>
  <c r="L70"/>
  <c r="H7" i="4"/>
  <c r="H30" s="1"/>
  <c r="H14" i="3"/>
  <c r="L31" i="1"/>
  <c r="L67"/>
  <c r="M64"/>
  <c r="K65"/>
  <c r="L61"/>
  <c r="K62"/>
  <c r="E33"/>
  <c r="L58"/>
  <c r="K59"/>
  <c r="E32"/>
  <c r="L55"/>
  <c r="K56"/>
  <c r="I1"/>
  <c r="M11" i="3"/>
  <c r="M4" i="4"/>
  <c r="M27" s="1"/>
  <c r="L49" i="1"/>
  <c r="K50"/>
  <c r="A1" i="4"/>
  <c r="L52" i="1"/>
  <c r="K53"/>
  <c r="A24" i="4"/>
  <c r="O1" i="1"/>
  <c r="O46"/>
  <c r="K47"/>
  <c r="A18"/>
  <c r="N43"/>
  <c r="K44"/>
  <c r="L40"/>
  <c r="K41"/>
  <c r="A1" i="3"/>
  <c r="L33" i="1"/>
  <c r="L30"/>
  <c r="L32"/>
  <c r="K27" i="4"/>
  <c r="E6" i="2"/>
  <c r="E15"/>
  <c r="B26" i="3"/>
  <c r="B19" i="4"/>
  <c r="B42" s="1"/>
  <c r="O12" i="3"/>
  <c r="O5" i="4"/>
  <c r="O28" s="1"/>
  <c r="K15" i="2"/>
  <c r="K6"/>
  <c r="C15"/>
  <c r="B28"/>
  <c r="F8"/>
  <c r="B24"/>
  <c r="B20"/>
  <c r="I14"/>
  <c r="G14"/>
  <c r="J5"/>
  <c r="G5"/>
  <c r="I5"/>
  <c r="Q44" i="1"/>
  <c r="Q45" s="1"/>
  <c r="F36" s="1"/>
  <c r="Q43"/>
  <c r="F35" s="1"/>
  <c r="F4"/>
  <c r="F5"/>
  <c r="C30"/>
  <c r="B4"/>
  <c r="F6"/>
  <c r="U4"/>
  <c r="B5"/>
  <c r="U3"/>
  <c r="AA3" s="1"/>
  <c r="E14" i="2"/>
  <c r="J14"/>
  <c r="F17"/>
  <c r="B21"/>
  <c r="E5"/>
  <c r="B22"/>
  <c r="D16" i="1"/>
  <c r="D4"/>
  <c r="D5"/>
  <c r="D6"/>
  <c r="D11"/>
  <c r="O3"/>
  <c r="AA2"/>
  <c r="D15"/>
  <c r="Z2"/>
  <c r="AA4"/>
  <c r="AB2"/>
  <c r="O18"/>
  <c r="K19"/>
  <c r="F9" i="4"/>
  <c r="L6" i="1"/>
  <c r="O21"/>
  <c r="K22"/>
  <c r="R32"/>
  <c r="R34"/>
  <c r="R36"/>
  <c r="R35"/>
  <c r="R31"/>
  <c r="R30"/>
  <c r="R33"/>
  <c r="D10"/>
  <c r="B7"/>
  <c r="D12"/>
  <c r="Z4"/>
  <c r="Y2"/>
  <c r="AB3"/>
  <c r="AC2"/>
  <c r="AB4"/>
  <c r="AB5" s="1"/>
  <c r="L34"/>
  <c r="P3"/>
  <c r="I12" i="3"/>
  <c r="K12" s="1"/>
  <c r="I18"/>
  <c r="I11" i="4"/>
  <c r="I4"/>
  <c r="I27" s="1"/>
  <c r="I34" s="1"/>
  <c r="I11" i="3"/>
  <c r="D14"/>
  <c r="D7" i="4"/>
  <c r="G7"/>
  <c r="F7" i="1"/>
  <c r="F8"/>
  <c r="B8"/>
  <c r="O6"/>
  <c r="K7"/>
  <c r="I5" i="4"/>
  <c r="K5" s="1"/>
  <c r="K28" s="1"/>
  <c r="X2" i="1"/>
  <c r="Y4"/>
  <c r="Y3"/>
  <c r="Y5" s="1"/>
  <c r="K38"/>
  <c r="AC3"/>
  <c r="AD2"/>
  <c r="AC4"/>
  <c r="AC5"/>
  <c r="G30" i="4"/>
  <c r="G14" i="3"/>
  <c r="F16"/>
  <c r="F32" i="4"/>
  <c r="X4" i="1"/>
  <c r="W2"/>
  <c r="AE2"/>
  <c r="AD4"/>
  <c r="AD5" s="1"/>
  <c r="P9"/>
  <c r="K10"/>
  <c r="F11"/>
  <c r="W4"/>
  <c r="W3"/>
  <c r="W5" s="1"/>
  <c r="AF2"/>
  <c r="AE4"/>
  <c r="AE5" s="1"/>
  <c r="B18" i="3"/>
  <c r="B11" i="4"/>
  <c r="B34" s="1"/>
  <c r="F10" i="1"/>
  <c r="AF4"/>
  <c r="AF5" s="1"/>
  <c r="I28" i="4"/>
  <c r="J35" s="1"/>
  <c r="J12"/>
  <c r="M4" i="2"/>
  <c r="M13"/>
  <c r="K3" i="1"/>
  <c r="L3"/>
  <c r="L4"/>
  <c r="Q4"/>
  <c r="Q3"/>
  <c r="K15" i="4"/>
  <c r="K38" s="1"/>
  <c r="O15" i="1"/>
  <c r="O5" i="2"/>
  <c r="Q12" i="1"/>
  <c r="C5" i="4"/>
  <c r="C28"/>
  <c r="J32" s="1"/>
  <c r="A5"/>
  <c r="A28" s="1"/>
  <c r="A12" i="3"/>
  <c r="K22"/>
  <c r="O12" i="1"/>
  <c r="K13"/>
  <c r="O3" i="2"/>
  <c r="K16" i="1"/>
  <c r="G26"/>
  <c r="G25"/>
  <c r="M3"/>
  <c r="R3"/>
  <c r="N3"/>
  <c r="C12" i="3"/>
  <c r="E21" i="1"/>
  <c r="K20" i="3"/>
  <c r="K13" i="4"/>
  <c r="K36" s="1"/>
  <c r="O70" i="1"/>
  <c r="K71"/>
  <c r="N13" i="4"/>
  <c r="N36" s="1"/>
  <c r="N20" i="3"/>
  <c r="L5" i="2"/>
  <c r="L14"/>
  <c r="K16" s="1"/>
  <c r="K17" s="1"/>
  <c r="E12" i="3"/>
  <c r="E5" i="4"/>
  <c r="E28" s="1"/>
  <c r="C33" i="1"/>
  <c r="C31"/>
  <c r="J16" i="3"/>
  <c r="K18"/>
  <c r="K11" i="4"/>
  <c r="K34" s="1"/>
  <c r="C24" i="1"/>
  <c r="C25"/>
  <c r="C26"/>
  <c r="E28"/>
  <c r="O12" i="2"/>
  <c r="E25" i="1"/>
  <c r="J9" i="4"/>
  <c r="O14" i="2"/>
  <c r="E26" i="1"/>
  <c r="G12" i="3"/>
  <c r="M12" s="1"/>
  <c r="E16" s="1"/>
  <c r="C28" i="1" s="1"/>
  <c r="N67"/>
  <c r="K68"/>
  <c r="G28"/>
  <c r="C23"/>
  <c r="C22"/>
  <c r="B29" i="2" l="1"/>
  <c r="B30" s="1"/>
  <c r="K18" s="1"/>
  <c r="G28" i="4" s="1"/>
  <c r="M28" s="1"/>
  <c r="J19" i="3"/>
  <c r="AE3" i="1"/>
  <c r="AA5"/>
  <c r="K7" i="2"/>
  <c r="K8" s="1"/>
  <c r="B25"/>
  <c r="B26" s="1"/>
  <c r="K9" s="1"/>
  <c r="G5" i="4" s="1"/>
  <c r="M5" s="1"/>
  <c r="E9" s="1"/>
  <c r="X3" i="1"/>
  <c r="X5" s="1"/>
  <c r="D30" i="4"/>
  <c r="Z3" i="1"/>
  <c r="Z5" s="1"/>
  <c r="AF3"/>
  <c r="AD3"/>
  <c r="E32" i="4" l="1"/>
</calcChain>
</file>

<file path=xl/sharedStrings.xml><?xml version="1.0" encoding="utf-8"?>
<sst xmlns="http://schemas.openxmlformats.org/spreadsheetml/2006/main" count="409" uniqueCount="262">
  <si>
    <t>Henry</t>
  </si>
  <si>
    <t>Farad</t>
  </si>
  <si>
    <t>Ohm</t>
  </si>
  <si>
    <t>Hz</t>
  </si>
  <si>
    <t>KHz</t>
  </si>
  <si>
    <t>mH</t>
  </si>
  <si>
    <t>nF</t>
  </si>
  <si>
    <t>pF</t>
  </si>
  <si>
    <t>K Ohm</t>
  </si>
  <si>
    <t>MHz</t>
  </si>
  <si>
    <t>mm</t>
  </si>
  <si>
    <t>nH</t>
  </si>
  <si>
    <t>N = turns</t>
  </si>
  <si>
    <t>H</t>
  </si>
  <si>
    <t>pH</t>
  </si>
  <si>
    <t>walter</t>
  </si>
  <si>
    <t>Spacing mm</t>
  </si>
  <si>
    <t>Frekvens KHz</t>
  </si>
  <si>
    <t>ZL Ohm</t>
  </si>
  <si>
    <t>ZC Ohm</t>
  </si>
  <si>
    <t>AWG</t>
  </si>
  <si>
    <t>Konstanter</t>
  </si>
  <si>
    <t>N/cm</t>
  </si>
  <si>
    <t>SWG Standard (Sterling) Wire Gauge (UK)</t>
  </si>
  <si>
    <t>AWG =</t>
  </si>
  <si>
    <t>mm =</t>
  </si>
  <si>
    <t>µsec</t>
  </si>
  <si>
    <r>
      <rPr>
        <sz val="10"/>
        <rFont val="Calibri"/>
        <family val="2"/>
      </rPr>
      <t>µ</t>
    </r>
    <r>
      <rPr>
        <sz val="10"/>
        <rFont val="Arial"/>
        <family val="2"/>
      </rPr>
      <t>H</t>
    </r>
  </si>
  <si>
    <r>
      <rPr>
        <sz val="10"/>
        <rFont val="Calibri"/>
        <family val="2"/>
      </rPr>
      <t>µ</t>
    </r>
    <r>
      <rPr>
        <sz val="10"/>
        <rFont val="Arial"/>
        <family val="2"/>
      </rPr>
      <t>F</t>
    </r>
  </si>
  <si>
    <r>
      <rPr>
        <sz val="10"/>
        <rFont val="Calibri"/>
        <family val="2"/>
      </rPr>
      <t>µ</t>
    </r>
    <r>
      <rPr>
        <sz val="10"/>
        <rFont val="Arial"/>
        <family val="2"/>
      </rPr>
      <t>H</t>
    </r>
  </si>
  <si>
    <t>µₒ</t>
  </si>
  <si>
    <t>µrod</t>
  </si>
  <si>
    <t>N</t>
  </si>
  <si>
    <t>cm²</t>
  </si>
  <si>
    <t>cm</t>
  </si>
  <si>
    <t>4*phi*10^-7</t>
  </si>
  <si>
    <t>Ic = cm</t>
  </si>
  <si>
    <t>Wire diameter</t>
  </si>
  <si>
    <t>Irod/Drod</t>
  </si>
  <si>
    <t>Ferrite rod diameter</t>
  </si>
  <si>
    <t>Ferrite rod length</t>
  </si>
  <si>
    <t>Coil length</t>
  </si>
  <si>
    <t>Modifier factor</t>
  </si>
  <si>
    <t>Nos. Of turns</t>
  </si>
  <si>
    <t>Area of the rod</t>
  </si>
  <si>
    <t>K Inductance modifier</t>
  </si>
  <si>
    <t>Figure 2</t>
  </si>
  <si>
    <t>When ZL = ZC we have calculated fres, which is presented below</t>
  </si>
  <si>
    <t>Insert values</t>
  </si>
  <si>
    <t>and</t>
  </si>
  <si>
    <t>R in Ohm</t>
  </si>
  <si>
    <r>
      <t xml:space="preserve">L in </t>
    </r>
    <r>
      <rPr>
        <sz val="10"/>
        <rFont val="Calibri"/>
        <family val="2"/>
      </rPr>
      <t>µ</t>
    </r>
    <r>
      <rPr>
        <sz val="10"/>
        <rFont val="Arial"/>
        <family val="2"/>
      </rPr>
      <t>H</t>
    </r>
  </si>
  <si>
    <r>
      <t xml:space="preserve">C in </t>
    </r>
    <r>
      <rPr>
        <sz val="10"/>
        <rFont val="Calibri"/>
        <family val="2"/>
      </rPr>
      <t>µ</t>
    </r>
    <r>
      <rPr>
        <sz val="10"/>
        <rFont val="Arial"/>
        <family val="2"/>
      </rPr>
      <t>F</t>
    </r>
  </si>
  <si>
    <t>Insert the values of</t>
  </si>
  <si>
    <t>aircoil</t>
  </si>
  <si>
    <t>Ø mm mandrel</t>
  </si>
  <si>
    <t>N = numbers of turns</t>
  </si>
  <si>
    <t>r = mean coil radius = (diameter mandrel + wire thickness)/2</t>
  </si>
  <si>
    <t>Kr = radius constant</t>
  </si>
  <si>
    <t>l = coil length</t>
  </si>
  <si>
    <t>KL = length constant =</t>
  </si>
  <si>
    <t>Calculation of Impedances ZL og ZC, Resonance Frequency, Cut Off Frequency</t>
  </si>
  <si>
    <t>Mechanical Specifications for round rod</t>
  </si>
  <si>
    <t>Mechanical specifications for rectangular bar</t>
  </si>
  <si>
    <t>Ferrite bar width</t>
  </si>
  <si>
    <t>Ferrite bar thickness</t>
  </si>
  <si>
    <t>Ferrite bar length</t>
  </si>
  <si>
    <t>W = cm</t>
  </si>
  <si>
    <t>T = cm</t>
  </si>
  <si>
    <t>Irod = cm</t>
  </si>
  <si>
    <t>Ibar = cm</t>
  </si>
  <si>
    <t>Ic / Irod</t>
  </si>
  <si>
    <t>Ic / Ibar</t>
  </si>
  <si>
    <t>Area of the bar</t>
  </si>
  <si>
    <t>This calculation is approximate</t>
  </si>
  <si>
    <t>This calculation is performed after data sheet</t>
  </si>
  <si>
    <r>
      <rPr>
        <b/>
        <sz val="12"/>
        <rFont val="Calibri"/>
        <family val="2"/>
      </rPr>
      <t>µ</t>
    </r>
    <r>
      <rPr>
        <b/>
        <sz val="12"/>
        <rFont val="Arial"/>
        <family val="2"/>
      </rPr>
      <t>H</t>
    </r>
  </si>
  <si>
    <t>Drod = cm</t>
  </si>
  <si>
    <t>Ibar/Dbar</t>
  </si>
  <si>
    <t>in vaccum</t>
  </si>
  <si>
    <t>Calculate the diameter of known AWG:</t>
  </si>
  <si>
    <t>Calculate AWG with a known diameter:</t>
  </si>
  <si>
    <t>AWG American Wire Gauge (U.S.)</t>
  </si>
  <si>
    <t>Above you can calculate the diameter when you know AWG or AWG when you know the diameter.</t>
  </si>
  <si>
    <t>Gauge</t>
  </si>
  <si>
    <t>Figure 65</t>
  </si>
  <si>
    <t>Rod circumference</t>
  </si>
  <si>
    <t>Bar circumference</t>
  </si>
  <si>
    <t>Analog values</t>
  </si>
  <si>
    <r>
      <rPr>
        <b/>
        <sz val="11"/>
        <color indexed="10"/>
        <rFont val="Arial"/>
        <family val="2"/>
      </rPr>
      <t>Read</t>
    </r>
    <r>
      <rPr>
        <b/>
        <sz val="11"/>
        <rFont val="Arial"/>
        <family val="2"/>
      </rPr>
      <t xml:space="preserve"> and </t>
    </r>
    <r>
      <rPr>
        <b/>
        <sz val="11"/>
        <color indexed="13"/>
        <rFont val="Arial"/>
        <family val="2"/>
      </rPr>
      <t>paste</t>
    </r>
  </si>
  <si>
    <t>Nos. Of layer</t>
  </si>
  <si>
    <t>Meter</t>
  </si>
  <si>
    <t>Rod material permeability</t>
  </si>
  <si>
    <t>Bar material permeability</t>
  </si>
  <si>
    <t>µi</t>
  </si>
  <si>
    <t>inductance modifier. Insert values ​​in the Read and paste in the yellow fields</t>
  </si>
  <si>
    <t>1st. Insert the mechanical values ​​of the ferrite rod/bar in the yellow fields.</t>
  </si>
  <si>
    <t>2nd. Read Irod/Drod and Ic/Irod ratios. ​​locate urod and K</t>
  </si>
  <si>
    <t>4th. Read the coil inductance in the green field.</t>
  </si>
  <si>
    <t>5th. Use a Goal Seek in "What-if analysis" if a new value for L to be found</t>
  </si>
  <si>
    <t>Click Data</t>
  </si>
  <si>
    <t>Click on the What-If Analysis</t>
  </si>
  <si>
    <t>Click on Goal Seek</t>
  </si>
  <si>
    <t>Set cell: F7</t>
  </si>
  <si>
    <t>To value: 800</t>
  </si>
  <si>
    <t>By changing cell: K5</t>
  </si>
  <si>
    <t>Click OK</t>
  </si>
  <si>
    <t>Read the new values ​​of L and N</t>
  </si>
  <si>
    <t>Real coil length incl. Isolation</t>
  </si>
  <si>
    <t>Ae</t>
  </si>
  <si>
    <t>Insulation and air between windings to be added. Named spacing</t>
  </si>
  <si>
    <t>Spacing</t>
  </si>
  <si>
    <t>Copper</t>
  </si>
  <si>
    <t>Coil diameter</t>
  </si>
  <si>
    <t>Coil form circum. Min</t>
  </si>
  <si>
    <t>Coil form circum. Max</t>
  </si>
  <si>
    <t>Coil form circum. Avg</t>
  </si>
  <si>
    <t>ROD</t>
  </si>
  <si>
    <t>BAR</t>
  </si>
  <si>
    <t>Fictive coil diameter</t>
  </si>
  <si>
    <t>Bar "diameter" fictive</t>
  </si>
  <si>
    <t>FIG. 65 can be found on my website</t>
  </si>
  <si>
    <t>FIG. 1 on the left is for Fair-Rite Products</t>
  </si>
  <si>
    <t xml:space="preserve">http://www.walter-lystfisker.dk/ </t>
  </si>
  <si>
    <t>The program is linked to my website:</t>
  </si>
  <si>
    <t>You are welcome to use my spreadsheet in your work,</t>
  </si>
  <si>
    <t>but remember to save the results, drag the program</t>
  </si>
  <si>
    <t>into your own PC and save it there.</t>
  </si>
  <si>
    <r>
      <t xml:space="preserve">Lrod = K * </t>
    </r>
    <r>
      <rPr>
        <b/>
        <sz val="12"/>
        <rFont val="Calibri"/>
        <family val="2"/>
      </rPr>
      <t>µₒ</t>
    </r>
    <r>
      <rPr>
        <b/>
        <sz val="12"/>
        <rFont val="Arial"/>
        <family val="2"/>
      </rPr>
      <t xml:space="preserve"> * </t>
    </r>
    <r>
      <rPr>
        <b/>
        <sz val="12"/>
        <rFont val="Calibri"/>
        <family val="2"/>
      </rPr>
      <t>µ</t>
    </r>
    <r>
      <rPr>
        <b/>
        <sz val="12"/>
        <rFont val="Arial"/>
        <family val="2"/>
      </rPr>
      <t>rod * (N</t>
    </r>
    <r>
      <rPr>
        <b/>
        <sz val="12"/>
        <rFont val="Calibri"/>
        <family val="2"/>
      </rPr>
      <t>²</t>
    </r>
    <r>
      <rPr>
        <b/>
        <sz val="12"/>
        <rFont val="Arial"/>
        <family val="2"/>
      </rPr>
      <t xml:space="preserve"> * Ae / Irod) * 10^4 [</t>
    </r>
    <r>
      <rPr>
        <b/>
        <sz val="12"/>
        <rFont val="Calibri"/>
        <family val="2"/>
      </rPr>
      <t>µ</t>
    </r>
    <r>
      <rPr>
        <b/>
        <sz val="12"/>
        <rFont val="Arial"/>
        <family val="2"/>
      </rPr>
      <t>H] =</t>
    </r>
  </si>
  <si>
    <r>
      <t xml:space="preserve">Lbar = K * </t>
    </r>
    <r>
      <rPr>
        <b/>
        <sz val="12"/>
        <rFont val="Calibri"/>
        <family val="2"/>
      </rPr>
      <t>µₒ</t>
    </r>
    <r>
      <rPr>
        <b/>
        <sz val="12"/>
        <rFont val="Arial"/>
        <family val="2"/>
      </rPr>
      <t xml:space="preserve"> * </t>
    </r>
    <r>
      <rPr>
        <b/>
        <sz val="12"/>
        <rFont val="Calibri"/>
        <family val="2"/>
      </rPr>
      <t>µ</t>
    </r>
    <r>
      <rPr>
        <b/>
        <sz val="12"/>
        <rFont val="Arial"/>
        <family val="2"/>
      </rPr>
      <t>rod * (N</t>
    </r>
    <r>
      <rPr>
        <b/>
        <sz val="12"/>
        <rFont val="Calibri"/>
        <family val="2"/>
      </rPr>
      <t>²</t>
    </r>
    <r>
      <rPr>
        <b/>
        <sz val="12"/>
        <rFont val="Arial"/>
        <family val="2"/>
      </rPr>
      <t xml:space="preserve"> * Ae / Ibar) * 10^4 [</t>
    </r>
    <r>
      <rPr>
        <b/>
        <sz val="12"/>
        <rFont val="Calibri"/>
        <family val="2"/>
      </rPr>
      <t>µ</t>
    </r>
    <r>
      <rPr>
        <b/>
        <sz val="12"/>
        <rFont val="Arial"/>
        <family val="2"/>
      </rPr>
      <t>H] =</t>
    </r>
  </si>
  <si>
    <t>Maksimal frequency kHz</t>
  </si>
  <si>
    <t>The selected wire has the following data:</t>
  </si>
  <si>
    <t>Max frequency kHz</t>
  </si>
  <si>
    <t>Meter wire</t>
  </si>
  <si>
    <t>Ø mm wire</t>
  </si>
  <si>
    <r>
      <t>L = (N</t>
    </r>
    <r>
      <rPr>
        <b/>
        <sz val="10"/>
        <rFont val="Calibri"/>
        <family val="2"/>
      </rPr>
      <t>²</t>
    </r>
    <r>
      <rPr>
        <b/>
        <sz val="10"/>
        <rFont val="Arial"/>
        <family val="2"/>
      </rPr>
      <t xml:space="preserve"> *r</t>
    </r>
    <r>
      <rPr>
        <b/>
        <sz val="10"/>
        <rFont val="Calibri"/>
        <family val="2"/>
      </rPr>
      <t>²</t>
    </r>
    <r>
      <rPr>
        <b/>
        <sz val="10"/>
        <rFont val="Arial"/>
        <family val="2"/>
      </rPr>
      <t>)/(Kr*r+KL*l) =</t>
    </r>
  </si>
  <si>
    <t>Ø wire</t>
  </si>
  <si>
    <t>A wire</t>
  </si>
  <si>
    <t>Wire length</t>
  </si>
  <si>
    <t>mm²</t>
  </si>
  <si>
    <t>meter</t>
  </si>
  <si>
    <t>Dimensions are given in mm</t>
  </si>
  <si>
    <t>Data from sheet "Resonance" is automatically inserted in the green cells</t>
  </si>
  <si>
    <t>Aluminium</t>
  </si>
  <si>
    <t>Platin</t>
  </si>
  <si>
    <t>ρ [rho]</t>
  </si>
  <si>
    <t>Ohm*A/I</t>
  </si>
  <si>
    <t>Data from sheet "Ferrite Rod" is automatically inserted in the green cells</t>
  </si>
  <si>
    <t xml:space="preserve"> kHz</t>
  </si>
  <si>
    <r>
      <t>2*</t>
    </r>
    <r>
      <rPr>
        <sz val="10"/>
        <rFont val="Calibri"/>
        <family val="2"/>
      </rPr>
      <t>π</t>
    </r>
    <r>
      <rPr>
        <sz val="10"/>
        <rFont val="Arial"/>
        <family val="2"/>
      </rPr>
      <t>*f*L/Rlserie =</t>
    </r>
  </si>
  <si>
    <r>
      <t>ZL=2*</t>
    </r>
    <r>
      <rPr>
        <b/>
        <sz val="10"/>
        <rFont val="Calibri"/>
        <family val="2"/>
      </rPr>
      <t>π</t>
    </r>
    <r>
      <rPr>
        <b/>
        <sz val="10"/>
        <rFont val="Arial"/>
        <family val="2"/>
      </rPr>
      <t>*f*L</t>
    </r>
  </si>
  <si>
    <r>
      <t>ZC=1/2*</t>
    </r>
    <r>
      <rPr>
        <b/>
        <sz val="10"/>
        <rFont val="Calibri"/>
        <family val="2"/>
      </rPr>
      <t>π</t>
    </r>
    <r>
      <rPr>
        <b/>
        <sz val="10"/>
        <rFont val="Arial"/>
        <family val="2"/>
      </rPr>
      <t>*f*C</t>
    </r>
  </si>
  <si>
    <t>fres=1/(2*π*KVROD(L*C))</t>
  </si>
  <si>
    <t xml:space="preserve">A frequency of </t>
  </si>
  <si>
    <t xml:space="preserve"> has a skin depth of </t>
  </si>
  <si>
    <t xml:space="preserve"> mm</t>
  </si>
  <si>
    <t>Rod Inductance Calculation with Fair-Rite Products Corp. Catalog Data Sheet</t>
  </si>
  <si>
    <t>Bar Inductance Calculation with the circumference of the bar converted with a diameter</t>
  </si>
  <si>
    <t>Qres =</t>
  </si>
  <si>
    <r>
      <t>ZL=2*</t>
    </r>
    <r>
      <rPr>
        <sz val="10"/>
        <rFont val="Calibri"/>
        <family val="2"/>
      </rPr>
      <t>π</t>
    </r>
    <r>
      <rPr>
        <sz val="10"/>
        <rFont val="Arial"/>
        <family val="2"/>
      </rPr>
      <t>*f*L</t>
    </r>
  </si>
  <si>
    <r>
      <t>ZC=1/2*</t>
    </r>
    <r>
      <rPr>
        <sz val="10"/>
        <rFont val="Calibri"/>
        <family val="2"/>
      </rPr>
      <t>π</t>
    </r>
    <r>
      <rPr>
        <sz val="10"/>
        <rFont val="Arial"/>
        <family val="2"/>
      </rPr>
      <t>*f*C</t>
    </r>
  </si>
  <si>
    <t xml:space="preserve">Maksimal frequency </t>
  </si>
  <si>
    <t>Lead</t>
  </si>
  <si>
    <t>Radius of wire</t>
  </si>
  <si>
    <t>Skin effect is the tendency of an alternating current (AC) to be distributed in a conductor such that the current density is highest near the surface of the conductor,</t>
  </si>
  <si>
    <t>and decreases with greater depths in the conductor. The electrical current flows substantially on the surface of the conductor, between the outer surface and the level</t>
  </si>
  <si>
    <t>is called the skin depth. Skin effect causes the effective resistance of the conductor to increase at higher frequencies where the penetration depth becomes smaller,</t>
  </si>
  <si>
    <t>thus reducing the effective cross-section of the conductor. Skin effect caused by opposing eddy currents induced by a changing magnetic field due to the alternating</t>
  </si>
  <si>
    <t>current (Eddy Currents). At 60 Hz in copper, is the penetration depth about 8.5 mm. At higher frequencies, the skin depth becomes very small. Increased AC resistance</t>
  </si>
  <si>
    <t>due to skin effect can be mitigated by using specially woven litz. Because the interior material of a thick conductor carries so little of the current,</t>
  </si>
  <si>
    <t>Distribution of current flow in a cylindrical conductor.</t>
  </si>
  <si>
    <r>
      <t xml:space="preserve">AC current (63%) flows between the surface and the skin depth </t>
    </r>
    <r>
      <rPr>
        <sz val="10"/>
        <rFont val="Calibri"/>
        <family val="2"/>
      </rPr>
      <t>δ</t>
    </r>
    <r>
      <rPr>
        <sz val="10"/>
        <rFont val="Arial"/>
      </rPr>
      <t>.</t>
    </r>
  </si>
  <si>
    <t>Skin depth depends on frequency and electrical/magnetic properties</t>
  </si>
  <si>
    <r>
      <t>Ohm*mm</t>
    </r>
    <r>
      <rPr>
        <sz val="10"/>
        <rFont val="Calibri"/>
        <family val="2"/>
      </rPr>
      <t>²</t>
    </r>
    <r>
      <rPr>
        <sz val="10"/>
        <rFont val="Arial"/>
        <family val="2"/>
      </rPr>
      <t>/m</t>
    </r>
  </si>
  <si>
    <t>Time delay</t>
  </si>
  <si>
    <t>Charging</t>
  </si>
  <si>
    <t>Discharging</t>
  </si>
  <si>
    <t>I only include the diameter of interest for the "Hobby People"</t>
  </si>
  <si>
    <t xml:space="preserve">Max effective wire diameter </t>
  </si>
  <si>
    <t>Maximum frequency for 63 % skin depth for solid copper wire only indicated on the AWG system</t>
  </si>
  <si>
    <t>Calculate Skin Depth for other conductors:</t>
  </si>
  <si>
    <t>http://www.siversima.com/rf-calculator/skin-depth-calculator/?gclid=CJOAwPGqrbICFWh2cAod3XAA2w</t>
  </si>
  <si>
    <r>
      <rPr>
        <sz val="10"/>
        <rFont val="Calibri"/>
        <family val="2"/>
      </rPr>
      <t xml:space="preserve">δ = </t>
    </r>
    <r>
      <rPr>
        <sz val="10"/>
        <rFont val="Arial"/>
        <family val="2"/>
      </rPr>
      <t xml:space="preserve">Skin depth at </t>
    </r>
  </si>
  <si>
    <t>Nickel</t>
  </si>
  <si>
    <r>
      <t>Specific resistance of conductors at 20</t>
    </r>
    <r>
      <rPr>
        <sz val="10"/>
        <color indexed="63"/>
        <rFont val="Calibri"/>
        <family val="2"/>
      </rPr>
      <t>°</t>
    </r>
    <r>
      <rPr>
        <sz val="10"/>
        <color indexed="63"/>
        <rFont val="Arial"/>
        <family val="2"/>
      </rPr>
      <t>C</t>
    </r>
  </si>
  <si>
    <t>Gold</t>
  </si>
  <si>
    <t>Silver</t>
  </si>
  <si>
    <t>Material</t>
  </si>
  <si>
    <t>at</t>
  </si>
  <si>
    <t>Between No. 36 and No. 0000 is 40 AWG Nos. or projection 39. The ratio of the diameters is 0,4600 / 0,0050 = 92.</t>
  </si>
  <si>
    <t>AWG: It is agreed that 36 AWG is 0,0050 inch or 0,127 mm in diameter and AWG 0000 is 0,4600 inches or 11,684 mm in diameter.</t>
  </si>
  <si>
    <t>SWG: The base for the calculation system is "mil" is 0,001 inch, or 0,0254 mm. The main thread diameter (No. 7/0) agreed to be</t>
  </si>
  <si>
    <t>0,50 inches or 500 mil or 12,7 mm. The smallest thread diameter (No. 50) is adopted to be 0,001 inch or 1.000,000 mil or 0,0254 mm.</t>
  </si>
  <si>
    <t>N / cm are turns of wire in the whole "rounded down" numbers per cm</t>
  </si>
  <si>
    <t>for standard wire</t>
  </si>
  <si>
    <r>
      <rPr>
        <sz val="10"/>
        <rFont val="Calibri"/>
        <family val="2"/>
      </rPr>
      <t>ρ</t>
    </r>
    <r>
      <rPr>
        <sz val="10"/>
        <rFont val="Arial"/>
        <family val="2"/>
      </rPr>
      <t xml:space="preserve"> [</t>
    </r>
    <r>
      <rPr>
        <sz val="10"/>
        <rFont val="Calibri"/>
        <family val="2"/>
      </rPr>
      <t>Ω</t>
    </r>
    <r>
      <rPr>
        <sz val="10"/>
        <rFont val="Arial"/>
        <family val="2"/>
      </rPr>
      <t>.m]</t>
    </r>
  </si>
  <si>
    <t xml:space="preserve">Skin depth at 63% </t>
  </si>
  <si>
    <t>Resonance Frequency kHz</t>
  </si>
  <si>
    <t xml:space="preserve">DC Resistance of </t>
  </si>
  <si>
    <t xml:space="preserve"> wire</t>
  </si>
  <si>
    <t>Materials</t>
  </si>
  <si>
    <t xml:space="preserve"> for aluminium </t>
  </si>
  <si>
    <t xml:space="preserve"> for copper </t>
  </si>
  <si>
    <t xml:space="preserve"> for gold </t>
  </si>
  <si>
    <t xml:space="preserve"> for lead </t>
  </si>
  <si>
    <t xml:space="preserve"> for nickel </t>
  </si>
  <si>
    <t xml:space="preserve"> for platin </t>
  </si>
  <si>
    <t xml:space="preserve"> for silver </t>
  </si>
  <si>
    <t xml:space="preserve">Skin effekt in </t>
  </si>
  <si>
    <t xml:space="preserve"> wire of an air coil [Resonance Sheet]</t>
  </si>
  <si>
    <t>the tube-shaped conductors such as pipes can be used to save weight and cost.</t>
  </si>
  <si>
    <t xml:space="preserve">of the conductor. Calculation here applies to </t>
  </si>
  <si>
    <t>Qres</t>
  </si>
  <si>
    <t xml:space="preserve">Calculation of Inductance of an air Coil one layer with </t>
  </si>
  <si>
    <t xml:space="preserve"> wire of a winded rod coil [Ferrite Rod Sheet]</t>
  </si>
  <si>
    <t xml:space="preserve"> wire of a winded bar coil [Ferrite Rod Sheet]</t>
  </si>
  <si>
    <t xml:space="preserve"> in </t>
  </si>
  <si>
    <t>D wire mm</t>
  </si>
  <si>
    <r>
      <t>A wire mm</t>
    </r>
    <r>
      <rPr>
        <sz val="10"/>
        <rFont val="Calibri"/>
        <family val="2"/>
      </rPr>
      <t>²</t>
    </r>
  </si>
  <si>
    <t>Skin depth mm</t>
  </si>
  <si>
    <t>Resistance [Ohm/m] at 20°C</t>
  </si>
  <si>
    <r>
      <t>f = (</t>
    </r>
    <r>
      <rPr>
        <sz val="10"/>
        <rFont val="Calibri"/>
        <family val="2"/>
      </rPr>
      <t>ρ</t>
    </r>
    <r>
      <rPr>
        <sz val="10"/>
        <rFont val="Arial"/>
        <family val="2"/>
      </rPr>
      <t>/PI*</t>
    </r>
    <r>
      <rPr>
        <sz val="10"/>
        <rFont val="Calibri"/>
        <family val="2"/>
      </rPr>
      <t>δ²</t>
    </r>
    <r>
      <rPr>
        <sz val="10"/>
        <rFont val="Arial"/>
        <family val="2"/>
      </rPr>
      <t>*</t>
    </r>
    <r>
      <rPr>
        <sz val="10"/>
        <rFont val="Calibri"/>
        <family val="2"/>
      </rPr>
      <t>µₒ</t>
    </r>
    <r>
      <rPr>
        <sz val="10"/>
        <rFont val="Arial"/>
        <family val="2"/>
      </rPr>
      <t>*</t>
    </r>
    <r>
      <rPr>
        <sz val="10"/>
        <rFont val="Calibri"/>
        <family val="2"/>
      </rPr>
      <t>µ</t>
    </r>
    <r>
      <rPr>
        <sz val="10"/>
        <rFont val="Arial"/>
        <family val="2"/>
      </rPr>
      <t>r [kHz)</t>
    </r>
  </si>
  <si>
    <t>δ = (ρ/pi*f*µₒ*µr)^-2 [m]</t>
  </si>
  <si>
    <t>fres</t>
  </si>
  <si>
    <t>m</t>
  </si>
  <si>
    <t xml:space="preserve">Effective </t>
  </si>
  <si>
    <t xml:space="preserve"> diameter</t>
  </si>
  <si>
    <t xml:space="preserve">Enamelled </t>
  </si>
  <si>
    <t xml:space="preserve">  wire min 0,03 mm</t>
  </si>
  <si>
    <t xml:space="preserve"> wire min 0,1 mm</t>
  </si>
  <si>
    <t xml:space="preserve">Non enamelled </t>
  </si>
  <si>
    <t>Spacing is air between windings:</t>
  </si>
  <si>
    <t>ZL ZC fres</t>
  </si>
  <si>
    <t xml:space="preserve"> wire is the effective diameter.</t>
  </si>
  <si>
    <t xml:space="preserve">The diameter of the enamelled </t>
  </si>
  <si>
    <t xml:space="preserve">at Resonance Frequency </t>
  </si>
  <si>
    <t>Skin depth 63% mm</t>
  </si>
  <si>
    <t>Length of wire incl. 20 cm connection leads</t>
  </si>
  <si>
    <t>3rd. Insert the number of turns of the coil and select the appropriate wire diameter</t>
  </si>
  <si>
    <t>Choose AWG Gauge</t>
  </si>
  <si>
    <t>Choose wire material</t>
  </si>
  <si>
    <t>Wire mm</t>
  </si>
  <si>
    <t>Select Gauge and material from drop-down list</t>
  </si>
  <si>
    <t>Select standard wire sizes from drop-down list</t>
  </si>
  <si>
    <t xml:space="preserve">Resistance of </t>
  </si>
  <si>
    <t xml:space="preserve"> wire </t>
  </si>
  <si>
    <t xml:space="preserve"> Ω</t>
  </si>
  <si>
    <t>1*RC</t>
  </si>
  <si>
    <t>5*RC</t>
  </si>
  <si>
    <t>τL = L/R = Volt</t>
  </si>
  <si>
    <t>τC = C*R = Current</t>
  </si>
  <si>
    <t xml:space="preserve">The selected </t>
  </si>
  <si>
    <t xml:space="preserve"> wire has the following data:  </t>
  </si>
  <si>
    <t>Effective cross section of the wire is when the radius is equal to the skin depth</t>
  </si>
  <si>
    <t>[H*m^-1 or N*A^-2]</t>
  </si>
  <si>
    <r>
      <rPr>
        <sz val="10"/>
        <rFont val="Calibri"/>
        <family val="2"/>
      </rPr>
      <t>µ</t>
    </r>
    <r>
      <rPr>
        <sz val="10"/>
        <rFont val="Arial"/>
        <family val="2"/>
      </rPr>
      <t>r [Permeability]</t>
    </r>
  </si>
  <si>
    <t xml:space="preserve"> Skin depth mm </t>
  </si>
  <si>
    <t>Skin depth equation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</si>
  <si>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</si>
  <si>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</si>
  <si>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</si>
  <si>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Reg.No.1252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</si>
</sst>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#,##0.0000"/>
    <numFmt numFmtId="166" formatCode="_(* #,##0.000_);_(* \(#,##0.000\);_(* &quot;-&quot;??_);_(@_)"/>
    <numFmt numFmtId="167" formatCode="_(* #,##0_);_(* \(#,##0\);_(* &quot;-&quot;??_);_(@_)"/>
    <numFmt numFmtId="168" formatCode="0.0000"/>
    <numFmt numFmtId="169" formatCode="0.000"/>
    <numFmt numFmtId="170" formatCode="0.00000000"/>
    <numFmt numFmtId="171" formatCode="0.0000000E+00"/>
    <numFmt numFmtId="172" formatCode="#,##0.000000"/>
    <numFmt numFmtId="173" formatCode="_(* #,##0.0_);_(* \(#,##0.0\);_(* &quot;-&quot;??_);_(@_)"/>
    <numFmt numFmtId="174" formatCode="0.0"/>
    <numFmt numFmtId="175" formatCode="#,##0.00000"/>
    <numFmt numFmtId="176" formatCode="#,##0.0000000000"/>
    <numFmt numFmtId="177" formatCode="0.0000000"/>
    <numFmt numFmtId="178" formatCode="0.000000"/>
    <numFmt numFmtId="179" formatCode="0.0E+00"/>
    <numFmt numFmtId="180" formatCode="_(* #,##0.00000000_);_(* \(#,##0.00000000\);_(* &quot;-&quot;??_);_(@_)"/>
    <numFmt numFmtId="181" formatCode="0.0000E+00"/>
    <numFmt numFmtId="182" formatCode="0.00000"/>
    <numFmt numFmtId="183" formatCode="#,##0.0"/>
    <numFmt numFmtId="184" formatCode="#,##0.000"/>
    <numFmt numFmtId="185" formatCode="_ * #,##0.000_ ;_ * \-#,##0.000_ ;_ * &quot;-&quot;???_ ;_ @_ "/>
  </numFmts>
  <fonts count="3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13"/>
      <name val="Arial"/>
      <family val="2"/>
    </font>
    <font>
      <sz val="11"/>
      <name val="Arial"/>
      <family val="2"/>
    </font>
    <font>
      <b/>
      <sz val="10"/>
      <name val="Calibri"/>
      <family val="2"/>
    </font>
    <font>
      <sz val="10"/>
      <color indexed="63"/>
      <name val="Arial"/>
      <family val="2"/>
    </font>
    <font>
      <sz val="12"/>
      <name val="Arial"/>
      <family val="2"/>
    </font>
    <font>
      <sz val="10"/>
      <color indexed="63"/>
      <name val="Calibri"/>
      <family val="2"/>
    </font>
    <font>
      <b/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1"/>
      <color rgb="FFFF0000"/>
      <name val="Arial"/>
      <family val="2"/>
    </font>
    <font>
      <sz val="10"/>
      <color rgb="FF333333"/>
      <name val="Arial"/>
      <family val="2"/>
    </font>
    <font>
      <sz val="10"/>
      <color theme="0" tint="-4.9989318521683403E-2"/>
      <name val="Arial"/>
      <family val="2"/>
    </font>
    <font>
      <b/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rgb="FF00B050"/>
      <name val="Arial"/>
      <family val="2"/>
    </font>
    <font>
      <sz val="10"/>
      <color theme="0" tint="-0.14999847407452621"/>
      <name val="Arial"/>
      <family val="2"/>
    </font>
    <font>
      <b/>
      <sz val="10"/>
      <color rgb="FF333333"/>
      <name val="Arial"/>
      <family val="2"/>
    </font>
    <font>
      <b/>
      <sz val="10"/>
      <color rgb="FFFF0000"/>
      <name val="Arial"/>
      <family val="2"/>
    </font>
    <font>
      <b/>
      <sz val="11"/>
      <color rgb="FF333333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76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0" fillId="2" borderId="1" xfId="0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11" fontId="0" fillId="2" borderId="0" xfId="0" applyNumberFormat="1" applyFill="1" applyBorder="1" applyProtection="1">
      <protection hidden="1"/>
    </xf>
    <xf numFmtId="171" fontId="0" fillId="2" borderId="0" xfId="0" applyNumberForma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2" fontId="0" fillId="2" borderId="0" xfId="0" applyNumberFormat="1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2" fontId="4" fillId="0" borderId="0" xfId="0" applyNumberFormat="1" applyFont="1" applyFill="1" applyBorder="1" applyProtection="1">
      <protection hidden="1"/>
    </xf>
    <xf numFmtId="0" fontId="0" fillId="0" borderId="0" xfId="0" applyFill="1" applyProtection="1">
      <protection hidden="1"/>
    </xf>
    <xf numFmtId="0" fontId="4" fillId="2" borderId="0" xfId="0" applyFont="1" applyFill="1" applyBorder="1" applyAlignment="1" applyProtection="1">
      <protection hidden="1"/>
    </xf>
    <xf numFmtId="0" fontId="4" fillId="2" borderId="1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2" borderId="1" xfId="0" applyFont="1" applyFill="1" applyBorder="1" applyAlignment="1" applyProtection="1">
      <protection hidden="1"/>
    </xf>
    <xf numFmtId="0" fontId="9" fillId="2" borderId="1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0" fontId="21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168" fontId="0" fillId="2" borderId="0" xfId="0" applyNumberForma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22" fillId="2" borderId="0" xfId="0" applyFont="1" applyFill="1" applyBorder="1" applyAlignment="1" applyProtection="1">
      <alignment horizontal="center"/>
      <protection hidden="1"/>
    </xf>
    <xf numFmtId="174" fontId="22" fillId="2" borderId="0" xfId="0" applyNumberFormat="1" applyFont="1" applyFill="1" applyBorder="1" applyAlignment="1" applyProtection="1">
      <alignment horizontal="center"/>
      <protection hidden="1"/>
    </xf>
    <xf numFmtId="0" fontId="23" fillId="2" borderId="0" xfId="0" applyFont="1" applyFill="1" applyBorder="1" applyAlignment="1" applyProtection="1">
      <alignment horizontal="left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168" fontId="0" fillId="2" borderId="10" xfId="0" applyNumberFormat="1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168" fontId="0" fillId="2" borderId="11" xfId="0" applyNumberFormat="1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/>
      <protection hidden="1"/>
    </xf>
    <xf numFmtId="168" fontId="4" fillId="2" borderId="0" xfId="0" applyNumberFormat="1" applyFont="1" applyFill="1" applyBorder="1" applyAlignment="1" applyProtection="1">
      <alignment horizontal="center"/>
      <protection hidden="1"/>
    </xf>
    <xf numFmtId="0" fontId="4" fillId="2" borderId="12" xfId="0" applyFont="1" applyFill="1" applyBorder="1" applyAlignment="1" applyProtection="1">
      <alignment horizontal="center"/>
      <protection hidden="1"/>
    </xf>
    <xf numFmtId="2" fontId="0" fillId="2" borderId="13" xfId="0" applyNumberFormat="1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2" fontId="24" fillId="2" borderId="6" xfId="0" applyNumberFormat="1" applyFont="1" applyFill="1" applyBorder="1" applyAlignment="1" applyProtection="1">
      <alignment horizontal="center"/>
      <protection hidden="1"/>
    </xf>
    <xf numFmtId="168" fontId="0" fillId="2" borderId="0" xfId="0" applyNumberFormat="1" applyFill="1" applyAlignment="1" applyProtection="1">
      <alignment horizontal="center"/>
      <protection hidden="1"/>
    </xf>
    <xf numFmtId="0" fontId="1" fillId="2" borderId="1" xfId="0" applyFont="1" applyFill="1" applyBorder="1" applyProtection="1">
      <protection hidden="1"/>
    </xf>
    <xf numFmtId="168" fontId="1" fillId="2" borderId="0" xfId="0" applyNumberFormat="1" applyFont="1" applyFill="1" applyBorder="1" applyAlignment="1" applyProtection="1">
      <alignment horizontal="left"/>
      <protection hidden="1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3" borderId="7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169" fontId="24" fillId="2" borderId="2" xfId="0" applyNumberFormat="1" applyFont="1" applyFill="1" applyBorder="1" applyAlignment="1" applyProtection="1">
      <alignment horizontal="center"/>
      <protection hidden="1"/>
    </xf>
    <xf numFmtId="0" fontId="25" fillId="2" borderId="12" xfId="0" applyFont="1" applyFill="1" applyBorder="1" applyAlignment="1" applyProtection="1">
      <protection hidden="1"/>
    </xf>
    <xf numFmtId="2" fontId="25" fillId="2" borderId="13" xfId="0" applyNumberFormat="1" applyFont="1" applyFill="1" applyBorder="1" applyAlignment="1" applyProtection="1">
      <alignment horizontal="center"/>
      <protection hidden="1"/>
    </xf>
    <xf numFmtId="174" fontId="14" fillId="3" borderId="7" xfId="0" applyNumberFormat="1" applyFont="1" applyFill="1" applyBorder="1" applyAlignment="1" applyProtection="1">
      <alignment horizontal="center"/>
      <protection locked="0"/>
    </xf>
    <xf numFmtId="168" fontId="0" fillId="2" borderId="4" xfId="0" applyNumberForma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169" fontId="0" fillId="2" borderId="7" xfId="0" applyNumberForma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168" fontId="1" fillId="0" borderId="0" xfId="0" applyNumberFormat="1" applyFont="1" applyFill="1" applyBorder="1" applyAlignment="1" applyProtection="1">
      <alignment horizontal="left"/>
      <protection hidden="1"/>
    </xf>
    <xf numFmtId="0" fontId="25" fillId="2" borderId="1" xfId="0" applyFont="1" applyFill="1" applyBorder="1" applyProtection="1">
      <protection hidden="1"/>
    </xf>
    <xf numFmtId="2" fontId="1" fillId="2" borderId="0" xfId="0" applyNumberFormat="1" applyFont="1" applyFill="1" applyBorder="1" applyAlignment="1" applyProtection="1">
      <alignment horizontal="left"/>
      <protection hidden="1"/>
    </xf>
    <xf numFmtId="0" fontId="1" fillId="2" borderId="8" xfId="0" applyFont="1" applyFill="1" applyBorder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4" borderId="0" xfId="0" applyFill="1" applyBorder="1" applyProtection="1">
      <protection hidden="1"/>
    </xf>
    <xf numFmtId="0" fontId="1" fillId="4" borderId="0" xfId="0" applyFont="1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5" borderId="14" xfId="0" applyFill="1" applyBorder="1" applyProtection="1">
      <protection hidden="1"/>
    </xf>
    <xf numFmtId="2" fontId="0" fillId="5" borderId="14" xfId="0" applyNumberFormat="1" applyFill="1" applyBorder="1" applyProtection="1">
      <protection hidden="1"/>
    </xf>
    <xf numFmtId="168" fontId="0" fillId="0" borderId="0" xfId="0" applyNumberFormat="1" applyProtection="1">
      <protection hidden="1"/>
    </xf>
    <xf numFmtId="9" fontId="0" fillId="0" borderId="0" xfId="3" applyFont="1" applyProtection="1">
      <protection hidden="1"/>
    </xf>
    <xf numFmtId="170" fontId="0" fillId="0" borderId="0" xfId="0" applyNumberFormat="1" applyProtection="1">
      <protection hidden="1"/>
    </xf>
    <xf numFmtId="0" fontId="26" fillId="4" borderId="0" xfId="0" applyFont="1" applyFill="1" applyBorder="1" applyProtection="1">
      <protection hidden="1"/>
    </xf>
    <xf numFmtId="0" fontId="0" fillId="5" borderId="15" xfId="0" applyFill="1" applyBorder="1" applyProtection="1">
      <protection hidden="1"/>
    </xf>
    <xf numFmtId="0" fontId="26" fillId="4" borderId="2" xfId="0" applyFont="1" applyFill="1" applyBorder="1" applyProtection="1">
      <protection hidden="1"/>
    </xf>
    <xf numFmtId="169" fontId="0" fillId="2" borderId="7" xfId="0" applyNumberFormat="1" applyFill="1" applyBorder="1" applyAlignment="1" applyProtection="1">
      <alignment horizontal="center"/>
      <protection hidden="1"/>
    </xf>
    <xf numFmtId="0" fontId="1" fillId="4" borderId="0" xfId="0" applyNumberFormat="1" applyFont="1" applyFill="1" applyBorder="1" applyAlignment="1" applyProtection="1">
      <alignment horizontal="left"/>
      <protection hidden="1"/>
    </xf>
    <xf numFmtId="167" fontId="1" fillId="4" borderId="0" xfId="1" applyNumberFormat="1" applyFont="1" applyFill="1" applyBorder="1" applyProtection="1">
      <protection hidden="1"/>
    </xf>
    <xf numFmtId="176" fontId="1" fillId="4" borderId="0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Alignment="1" applyProtection="1">
      <alignment horizontal="center" vertical="center"/>
      <protection hidden="1"/>
    </xf>
    <xf numFmtId="175" fontId="1" fillId="4" borderId="0" xfId="0" applyNumberFormat="1" applyFont="1" applyFill="1" applyBorder="1" applyAlignment="1" applyProtection="1">
      <alignment horizontal="right"/>
      <protection hidden="1"/>
    </xf>
    <xf numFmtId="0" fontId="1" fillId="4" borderId="0" xfId="1" applyNumberFormat="1" applyFont="1" applyFill="1" applyBorder="1" applyAlignment="1" applyProtection="1">
      <alignment horizontal="left"/>
      <protection hidden="1"/>
    </xf>
    <xf numFmtId="176" fontId="1" fillId="4" borderId="0" xfId="1" applyNumberFormat="1" applyFont="1" applyFill="1" applyBorder="1" applyAlignment="1" applyProtection="1">
      <alignment horizontal="center"/>
      <protection hidden="1"/>
    </xf>
    <xf numFmtId="2" fontId="24" fillId="2" borderId="2" xfId="0" applyNumberFormat="1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" fillId="0" borderId="1" xfId="0" applyFont="1" applyFill="1" applyBorder="1" applyProtection="1">
      <protection hidden="1"/>
    </xf>
    <xf numFmtId="169" fontId="0" fillId="5" borderId="14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169" fontId="0" fillId="0" borderId="0" xfId="0" applyNumberFormat="1" applyFill="1" applyProtection="1"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167" fontId="6" fillId="2" borderId="0" xfId="1" applyNumberFormat="1" applyFont="1" applyFill="1" applyBorder="1" applyProtection="1">
      <protection hidden="1"/>
    </xf>
    <xf numFmtId="4" fontId="0" fillId="2" borderId="0" xfId="0" applyNumberFormat="1" applyFill="1" applyBorder="1" applyProtection="1">
      <protection hidden="1"/>
    </xf>
    <xf numFmtId="166" fontId="6" fillId="2" borderId="0" xfId="1" applyNumberFormat="1" applyFont="1" applyFill="1" applyBorder="1" applyProtection="1">
      <protection hidden="1"/>
    </xf>
    <xf numFmtId="0" fontId="7" fillId="2" borderId="1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9" fontId="0" fillId="2" borderId="0" xfId="0" applyNumberFormat="1" applyFill="1" applyBorder="1" applyAlignment="1" applyProtection="1">
      <alignment horizontal="center"/>
      <protection hidden="1"/>
    </xf>
    <xf numFmtId="11" fontId="7" fillId="2" borderId="0" xfId="0" applyNumberFormat="1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169" fontId="7" fillId="2" borderId="0" xfId="0" applyNumberFormat="1" applyFont="1" applyFill="1" applyBorder="1" applyProtection="1">
      <protection hidden="1"/>
    </xf>
    <xf numFmtId="167" fontId="7" fillId="2" borderId="0" xfId="1" applyNumberFormat="1" applyFont="1" applyFill="1" applyBorder="1" applyProtection="1">
      <protection hidden="1"/>
    </xf>
    <xf numFmtId="1" fontId="4" fillId="2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Border="1" applyProtection="1">
      <protection hidden="1"/>
    </xf>
    <xf numFmtId="168" fontId="0" fillId="2" borderId="0" xfId="0" applyNumberFormat="1" applyFill="1" applyBorder="1" applyProtection="1">
      <protection hidden="1"/>
    </xf>
    <xf numFmtId="2" fontId="0" fillId="2" borderId="0" xfId="0" applyNumberFormat="1" applyFill="1" applyBorder="1" applyProtection="1">
      <protection hidden="1"/>
    </xf>
    <xf numFmtId="0" fontId="25" fillId="2" borderId="1" xfId="0" applyFont="1" applyFill="1" applyBorder="1" applyAlignment="1" applyProtection="1">
      <protection hidden="1"/>
    </xf>
    <xf numFmtId="4" fontId="25" fillId="2" borderId="0" xfId="0" applyNumberFormat="1" applyFont="1" applyFill="1" applyBorder="1" applyAlignment="1" applyProtection="1">
      <protection hidden="1"/>
    </xf>
    <xf numFmtId="1" fontId="0" fillId="2" borderId="0" xfId="0" applyNumberForma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8" fontId="0" fillId="2" borderId="0" xfId="0" applyNumberFormat="1" applyFill="1" applyBorder="1" applyAlignment="1" applyProtection="1">
      <alignment horizontal="left"/>
      <protection hidden="1"/>
    </xf>
    <xf numFmtId="2" fontId="7" fillId="2" borderId="0" xfId="0" applyNumberFormat="1" applyFont="1" applyFill="1" applyBorder="1" applyProtection="1">
      <protection hidden="1"/>
    </xf>
    <xf numFmtId="177" fontId="0" fillId="2" borderId="0" xfId="0" applyNumberFormat="1" applyFill="1" applyBorder="1" applyAlignment="1" applyProtection="1">
      <alignment horizontal="left"/>
      <protection hidden="1"/>
    </xf>
    <xf numFmtId="0" fontId="17" fillId="2" borderId="8" xfId="0" applyFont="1" applyFill="1" applyBorder="1" applyProtection="1">
      <protection hidden="1"/>
    </xf>
    <xf numFmtId="169" fontId="7" fillId="2" borderId="1" xfId="0" applyNumberFormat="1" applyFont="1" applyFill="1" applyBorder="1" applyAlignment="1" applyProtection="1">
      <alignment vertical="center" textRotation="90"/>
      <protection hidden="1"/>
    </xf>
    <xf numFmtId="0" fontId="7" fillId="2" borderId="1" xfId="0" applyFont="1" applyFill="1" applyBorder="1" applyAlignment="1" applyProtection="1">
      <alignment vertical="center" textRotation="90"/>
      <protection hidden="1"/>
    </xf>
    <xf numFmtId="0" fontId="0" fillId="2" borderId="16" xfId="0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25" fillId="0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0" fillId="2" borderId="17" xfId="0" applyFill="1" applyBorder="1" applyAlignment="1" applyProtection="1">
      <alignment horizontal="center"/>
      <protection hidden="1"/>
    </xf>
    <xf numFmtId="178" fontId="0" fillId="5" borderId="18" xfId="0" applyNumberFormat="1" applyFill="1" applyBorder="1" applyAlignment="1" applyProtection="1">
      <alignment horizontal="left"/>
      <protection hidden="1"/>
    </xf>
    <xf numFmtId="0" fontId="25" fillId="2" borderId="0" xfId="0" applyFont="1" applyFill="1" applyBorder="1" applyAlignment="1" applyProtection="1">
      <protection hidden="1"/>
    </xf>
    <xf numFmtId="0" fontId="25" fillId="2" borderId="2" xfId="0" applyFont="1" applyFill="1" applyBorder="1" applyAlignment="1" applyProtection="1">
      <protection hidden="1"/>
    </xf>
    <xf numFmtId="0" fontId="0" fillId="5" borderId="19" xfId="0" applyFill="1" applyBorder="1" applyProtection="1">
      <protection hidden="1"/>
    </xf>
    <xf numFmtId="0" fontId="1" fillId="2" borderId="20" xfId="0" applyFont="1" applyFill="1" applyBorder="1" applyAlignment="1" applyProtection="1">
      <alignment horizontal="center"/>
      <protection hidden="1"/>
    </xf>
    <xf numFmtId="0" fontId="25" fillId="2" borderId="6" xfId="0" applyFont="1" applyFill="1" applyBorder="1" applyAlignment="1" applyProtection="1">
      <protection hidden="1"/>
    </xf>
    <xf numFmtId="0" fontId="27" fillId="2" borderId="0" xfId="2" applyFont="1" applyFill="1" applyBorder="1" applyAlignment="1" applyProtection="1"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173" fontId="28" fillId="5" borderId="0" xfId="1" applyNumberFormat="1" applyFont="1" applyFill="1" applyBorder="1" applyAlignment="1" applyProtection="1">
      <protection hidden="1"/>
    </xf>
    <xf numFmtId="168" fontId="7" fillId="5" borderId="0" xfId="0" applyNumberFormat="1" applyFont="1" applyFill="1" applyBorder="1" applyProtection="1">
      <protection hidden="1"/>
    </xf>
    <xf numFmtId="169" fontId="1" fillId="2" borderId="0" xfId="0" applyNumberFormat="1" applyFont="1" applyFill="1" applyBorder="1" applyAlignment="1" applyProtection="1">
      <alignment horizontal="center"/>
      <protection hidden="1"/>
    </xf>
    <xf numFmtId="167" fontId="1" fillId="2" borderId="0" xfId="1" applyNumberFormat="1" applyFont="1" applyFill="1" applyBorder="1" applyAlignment="1" applyProtection="1">
      <protection hidden="1"/>
    </xf>
    <xf numFmtId="166" fontId="1" fillId="2" borderId="0" xfId="1" applyNumberFormat="1" applyFont="1" applyFill="1" applyBorder="1" applyAlignment="1" applyProtection="1">
      <protection hidden="1"/>
    </xf>
    <xf numFmtId="172" fontId="7" fillId="5" borderId="0" xfId="0" applyNumberFormat="1" applyFont="1" applyFill="1" applyBorder="1" applyProtection="1">
      <protection hidden="1"/>
    </xf>
    <xf numFmtId="0" fontId="25" fillId="2" borderId="0" xfId="0" applyFont="1" applyFill="1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right"/>
      <protection hidden="1"/>
    </xf>
    <xf numFmtId="178" fontId="0" fillId="2" borderId="8" xfId="0" applyNumberFormat="1" applyFill="1" applyBorder="1" applyProtection="1">
      <protection hidden="1"/>
    </xf>
    <xf numFmtId="168" fontId="0" fillId="2" borderId="8" xfId="0" applyNumberFormat="1" applyFill="1" applyBorder="1" applyProtection="1">
      <protection hidden="1"/>
    </xf>
    <xf numFmtId="169" fontId="25" fillId="2" borderId="0" xfId="0" applyNumberFormat="1" applyFont="1" applyFill="1" applyBorder="1" applyAlignment="1" applyProtection="1">
      <protection hidden="1"/>
    </xf>
    <xf numFmtId="0" fontId="1" fillId="2" borderId="2" xfId="0" applyFont="1" applyFill="1" applyBorder="1" applyAlignment="1" applyProtection="1">
      <protection hidden="1"/>
    </xf>
    <xf numFmtId="169" fontId="25" fillId="2" borderId="2" xfId="0" applyNumberFormat="1" applyFont="1" applyFill="1" applyBorder="1" applyAlignment="1" applyProtection="1">
      <protection hidden="1"/>
    </xf>
    <xf numFmtId="179" fontId="1" fillId="2" borderId="0" xfId="0" applyNumberFormat="1" applyFont="1" applyFill="1" applyBorder="1" applyAlignment="1" applyProtection="1">
      <alignment horizontal="center"/>
      <protection hidden="1"/>
    </xf>
    <xf numFmtId="180" fontId="0" fillId="0" borderId="0" xfId="1" applyNumberFormat="1" applyFont="1" applyProtection="1">
      <protection hidden="1"/>
    </xf>
    <xf numFmtId="0" fontId="1" fillId="0" borderId="18" xfId="0" applyFont="1" applyFill="1" applyBorder="1" applyAlignment="1" applyProtection="1">
      <alignment horizontal="center" vertical="center"/>
      <protection hidden="1"/>
    </xf>
    <xf numFmtId="173" fontId="29" fillId="2" borderId="0" xfId="1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Protection="1">
      <protection hidden="1"/>
    </xf>
    <xf numFmtId="10" fontId="1" fillId="2" borderId="8" xfId="0" applyNumberFormat="1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protection hidden="1"/>
    </xf>
    <xf numFmtId="0" fontId="30" fillId="2" borderId="8" xfId="0" applyFont="1" applyFill="1" applyBorder="1" applyAlignment="1" applyProtection="1">
      <alignment horizontal="center" vertical="center"/>
      <protection hidden="1"/>
    </xf>
    <xf numFmtId="0" fontId="31" fillId="2" borderId="8" xfId="0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168" fontId="0" fillId="0" borderId="0" xfId="0" applyNumberFormat="1" applyFill="1" applyBorder="1" applyAlignment="1" applyProtection="1">
      <alignment horizontal="center"/>
      <protection hidden="1"/>
    </xf>
    <xf numFmtId="169" fontId="0" fillId="0" borderId="0" xfId="0" applyNumberForma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right"/>
      <protection hidden="1"/>
    </xf>
    <xf numFmtId="178" fontId="0" fillId="0" borderId="0" xfId="0" applyNumberFormat="1" applyFill="1" applyBorder="1" applyProtection="1">
      <protection hidden="1"/>
    </xf>
    <xf numFmtId="168" fontId="0" fillId="0" borderId="0" xfId="0" applyNumberFormat="1" applyFill="1" applyBorder="1" applyProtection="1">
      <protection hidden="1"/>
    </xf>
    <xf numFmtId="181" fontId="5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protection hidden="1"/>
    </xf>
    <xf numFmtId="11" fontId="1" fillId="0" borderId="0" xfId="0" applyNumberFormat="1" applyFont="1" applyFill="1" applyBorder="1" applyAlignment="1" applyProtection="1">
      <alignment horizontal="right"/>
      <protection hidden="1"/>
    </xf>
    <xf numFmtId="11" fontId="0" fillId="0" borderId="0" xfId="0" applyNumberForma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178" fontId="0" fillId="0" borderId="0" xfId="0" applyNumberFormat="1" applyFill="1" applyBorder="1" applyAlignment="1" applyProtection="1">
      <alignment horizontal="right"/>
      <protection hidden="1"/>
    </xf>
    <xf numFmtId="4" fontId="0" fillId="0" borderId="0" xfId="0" applyNumberFormat="1" applyFill="1" applyBorder="1" applyAlignment="1" applyProtection="1">
      <alignment horizontal="right"/>
      <protection hidden="1"/>
    </xf>
    <xf numFmtId="0" fontId="5" fillId="0" borderId="21" xfId="0" applyFont="1" applyFill="1" applyBorder="1" applyAlignment="1" applyProtection="1">
      <alignment horizontal="center"/>
      <protection hidden="1"/>
    </xf>
    <xf numFmtId="164" fontId="0" fillId="0" borderId="21" xfId="0" applyNumberFormat="1" applyFill="1" applyBorder="1" applyAlignment="1" applyProtection="1">
      <protection hidden="1"/>
    </xf>
    <xf numFmtId="0" fontId="1" fillId="0" borderId="21" xfId="0" applyNumberFormat="1" applyFont="1" applyFill="1" applyBorder="1" applyAlignment="1" applyProtection="1">
      <alignment horizontal="center"/>
      <protection hidden="1"/>
    </xf>
    <xf numFmtId="0" fontId="1" fillId="0" borderId="22" xfId="0" applyNumberFormat="1" applyFont="1" applyFill="1" applyBorder="1" applyAlignment="1" applyProtection="1">
      <alignment horizontal="center"/>
      <protection hidden="1"/>
    </xf>
    <xf numFmtId="0" fontId="0" fillId="0" borderId="23" xfId="0" applyFill="1" applyBorder="1" applyAlignment="1" applyProtection="1">
      <protection hidden="1"/>
    </xf>
    <xf numFmtId="0" fontId="5" fillId="0" borderId="23" xfId="0" applyFont="1" applyFill="1" applyBorder="1" applyAlignment="1" applyProtection="1">
      <alignment horizontal="center"/>
      <protection hidden="1"/>
    </xf>
    <xf numFmtId="0" fontId="5" fillId="0" borderId="16" xfId="0" applyFont="1" applyFill="1" applyBorder="1" applyAlignment="1" applyProtection="1">
      <alignment horizontal="center"/>
      <protection hidden="1"/>
    </xf>
    <xf numFmtId="0" fontId="0" fillId="0" borderId="21" xfId="0" applyFill="1" applyBorder="1" applyProtection="1">
      <protection hidden="1"/>
    </xf>
    <xf numFmtId="169" fontId="0" fillId="0" borderId="21" xfId="0" applyNumberFormat="1" applyFill="1" applyBorder="1" applyProtection="1">
      <protection hidden="1"/>
    </xf>
    <xf numFmtId="0" fontId="0" fillId="0" borderId="23" xfId="0" applyFill="1" applyBorder="1" applyProtection="1"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Alignment="1" applyProtection="1">
      <alignment horizontal="center"/>
      <protection hidden="1"/>
    </xf>
    <xf numFmtId="0" fontId="1" fillId="0" borderId="23" xfId="0" applyFont="1" applyFill="1" applyBorder="1" applyAlignment="1" applyProtection="1">
      <alignment horizontal="center"/>
      <protection hidden="1"/>
    </xf>
    <xf numFmtId="0" fontId="1" fillId="0" borderId="16" xfId="0" applyFont="1" applyFill="1" applyBorder="1" applyAlignment="1" applyProtection="1">
      <alignment horizontal="center"/>
      <protection hidden="1"/>
    </xf>
    <xf numFmtId="4" fontId="1" fillId="0" borderId="21" xfId="0" applyNumberFormat="1" applyFont="1" applyFill="1" applyBorder="1" applyAlignment="1" applyProtection="1">
      <alignment horizontal="right"/>
      <protection hidden="1"/>
    </xf>
    <xf numFmtId="168" fontId="0" fillId="5" borderId="14" xfId="0" applyNumberFormat="1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0" fontId="1" fillId="0" borderId="24" xfId="0" applyFont="1" applyFill="1" applyBorder="1" applyAlignment="1" applyProtection="1">
      <alignment horizontal="left"/>
      <protection hidden="1"/>
    </xf>
    <xf numFmtId="0" fontId="1" fillId="0" borderId="23" xfId="0" applyFont="1" applyFill="1" applyBorder="1" applyAlignment="1" applyProtection="1">
      <alignment horizontal="left"/>
      <protection hidden="1"/>
    </xf>
    <xf numFmtId="0" fontId="25" fillId="0" borderId="21" xfId="0" applyFont="1" applyFill="1" applyBorder="1" applyAlignment="1" applyProtection="1">
      <alignment horizontal="left"/>
      <protection hidden="1"/>
    </xf>
    <xf numFmtId="0" fontId="1" fillId="0" borderId="21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" fillId="0" borderId="25" xfId="0" applyFont="1" applyFill="1" applyBorder="1" applyAlignment="1" applyProtection="1">
      <alignment horizontal="center"/>
      <protection hidden="1"/>
    </xf>
    <xf numFmtId="0" fontId="1" fillId="0" borderId="26" xfId="0" applyFont="1" applyFill="1" applyBorder="1" applyAlignment="1" applyProtection="1">
      <alignment horizontal="left"/>
      <protection hidden="1"/>
    </xf>
    <xf numFmtId="0" fontId="0" fillId="0" borderId="26" xfId="0" applyFill="1" applyBorder="1" applyAlignment="1" applyProtection="1">
      <alignment horizontal="left"/>
      <protection hidden="1"/>
    </xf>
    <xf numFmtId="0" fontId="0" fillId="0" borderId="23" xfId="0" applyFill="1" applyBorder="1" applyAlignment="1" applyProtection="1">
      <alignment horizontal="right"/>
      <protection hidden="1"/>
    </xf>
    <xf numFmtId="11" fontId="0" fillId="0" borderId="23" xfId="0" applyNumberFormat="1" applyFill="1" applyBorder="1" applyAlignment="1" applyProtection="1">
      <alignment horizontal="right"/>
      <protection hidden="1"/>
    </xf>
    <xf numFmtId="178" fontId="0" fillId="0" borderId="23" xfId="0" applyNumberFormat="1" applyFill="1" applyBorder="1" applyProtection="1">
      <protection hidden="1"/>
    </xf>
    <xf numFmtId="0" fontId="22" fillId="0" borderId="22" xfId="0" applyFont="1" applyFill="1" applyBorder="1" applyAlignment="1" applyProtection="1">
      <alignment horizontal="center"/>
      <protection hidden="1"/>
    </xf>
    <xf numFmtId="0" fontId="1" fillId="0" borderId="27" xfId="0" applyFont="1" applyFill="1" applyBorder="1" applyAlignment="1" applyProtection="1">
      <alignment horizontal="right"/>
      <protection hidden="1"/>
    </xf>
    <xf numFmtId="0" fontId="0" fillId="0" borderId="16" xfId="0" applyFill="1" applyBorder="1" applyAlignment="1" applyProtection="1">
      <alignment horizontal="right"/>
      <protection hidden="1"/>
    </xf>
    <xf numFmtId="168" fontId="1" fillId="0" borderId="27" xfId="0" applyNumberFormat="1" applyFont="1" applyFill="1" applyBorder="1" applyAlignment="1" applyProtection="1">
      <alignment horizontal="right"/>
      <protection hidden="1"/>
    </xf>
    <xf numFmtId="168" fontId="25" fillId="0" borderId="27" xfId="0" applyNumberFormat="1" applyFont="1" applyFill="1" applyBorder="1" applyAlignment="1" applyProtection="1">
      <protection hidden="1"/>
    </xf>
    <xf numFmtId="169" fontId="1" fillId="0" borderId="0" xfId="0" applyNumberFormat="1" applyFont="1" applyFill="1" applyProtection="1">
      <protection hidden="1"/>
    </xf>
    <xf numFmtId="0" fontId="25" fillId="2" borderId="21" xfId="0" applyFont="1" applyFill="1" applyBorder="1" applyAlignment="1" applyProtection="1">
      <protection hidden="1"/>
    </xf>
    <xf numFmtId="0" fontId="25" fillId="2" borderId="28" xfId="0" applyFont="1" applyFill="1" applyBorder="1" applyAlignment="1" applyProtection="1">
      <protection hidden="1"/>
    </xf>
    <xf numFmtId="0" fontId="25" fillId="2" borderId="8" xfId="0" applyFont="1" applyFill="1" applyBorder="1" applyAlignment="1" applyProtection="1">
      <protection hidden="1"/>
    </xf>
    <xf numFmtId="0" fontId="25" fillId="2" borderId="15" xfId="0" applyFont="1" applyFill="1" applyBorder="1" applyAlignment="1" applyProtection="1">
      <protection hidden="1"/>
    </xf>
    <xf numFmtId="0" fontId="25" fillId="2" borderId="23" xfId="0" applyFont="1" applyFill="1" applyBorder="1" applyAlignment="1" applyProtection="1"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2" fontId="7" fillId="5" borderId="0" xfId="0" applyNumberFormat="1" applyFont="1" applyFill="1" applyBorder="1" applyAlignment="1" applyProtection="1">
      <alignment horizontal="center"/>
      <protection hidden="1"/>
    </xf>
    <xf numFmtId="0" fontId="25" fillId="0" borderId="21" xfId="0" applyFont="1" applyFill="1" applyBorder="1" applyProtection="1"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1" fontId="7" fillId="5" borderId="0" xfId="0" applyNumberFormat="1" applyFont="1" applyFill="1" applyBorder="1" applyProtection="1">
      <protection hidden="1"/>
    </xf>
    <xf numFmtId="0" fontId="32" fillId="2" borderId="8" xfId="0" applyFont="1" applyFill="1" applyBorder="1" applyAlignment="1" applyProtection="1">
      <protection hidden="1"/>
    </xf>
    <xf numFmtId="0" fontId="5" fillId="2" borderId="8" xfId="0" applyFont="1" applyFill="1" applyBorder="1" applyAlignment="1" applyProtection="1">
      <protection hidden="1"/>
    </xf>
    <xf numFmtId="0" fontId="4" fillId="2" borderId="8" xfId="0" applyFont="1" applyFill="1" applyBorder="1" applyAlignment="1" applyProtection="1">
      <protection hidden="1"/>
    </xf>
    <xf numFmtId="0" fontId="25" fillId="2" borderId="7" xfId="0" applyFont="1" applyFill="1" applyBorder="1" applyAlignment="1" applyProtection="1">
      <protection hidden="1"/>
    </xf>
    <xf numFmtId="168" fontId="1" fillId="5" borderId="14" xfId="0" applyNumberFormat="1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1" fillId="0" borderId="22" xfId="0" applyFont="1" applyFill="1" applyBorder="1" applyProtection="1">
      <protection hidden="1"/>
    </xf>
    <xf numFmtId="164" fontId="7" fillId="5" borderId="0" xfId="1" applyNumberFormat="1" applyFont="1" applyFill="1" applyBorder="1" applyProtection="1">
      <protection hidden="1"/>
    </xf>
    <xf numFmtId="168" fontId="25" fillId="0" borderId="16" xfId="0" applyNumberFormat="1" applyFont="1" applyFill="1" applyBorder="1" applyAlignment="1" applyProtection="1">
      <protection hidden="1"/>
    </xf>
    <xf numFmtId="168" fontId="0" fillId="0" borderId="0" xfId="0" applyNumberFormat="1" applyFill="1" applyBorder="1" applyAlignment="1" applyProtection="1">
      <alignment horizontal="right"/>
      <protection hidden="1"/>
    </xf>
    <xf numFmtId="182" fontId="0" fillId="0" borderId="0" xfId="0" applyNumberFormat="1" applyFill="1" applyBorder="1" applyAlignment="1" applyProtection="1">
      <alignment horizontal="right"/>
      <protection hidden="1"/>
    </xf>
    <xf numFmtId="168" fontId="0" fillId="0" borderId="21" xfId="0" applyNumberFormat="1" applyFill="1" applyBorder="1" applyAlignment="1" applyProtection="1">
      <alignment horizontal="right"/>
      <protection hidden="1"/>
    </xf>
    <xf numFmtId="168" fontId="1" fillId="0" borderId="0" xfId="0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168" fontId="25" fillId="0" borderId="0" xfId="0" applyNumberFormat="1" applyFont="1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2" borderId="12" xfId="0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5" fillId="2" borderId="0" xfId="0" applyFont="1" applyFill="1" applyBorder="1" applyAlignment="1" applyProtection="1">
      <alignment horizontal="center"/>
      <protection hidden="1"/>
    </xf>
    <xf numFmtId="0" fontId="1" fillId="2" borderId="29" xfId="0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" fillId="0" borderId="18" xfId="0" applyNumberFormat="1" applyFont="1" applyBorder="1" applyAlignment="1" applyProtection="1">
      <alignment horizontal="left"/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18" xfId="0" applyNumberFormat="1" applyFont="1" applyFill="1" applyBorder="1" applyAlignment="1" applyProtection="1">
      <alignment horizontal="left"/>
      <protection hidden="1"/>
    </xf>
    <xf numFmtId="176" fontId="1" fillId="0" borderId="18" xfId="0" applyNumberFormat="1" applyFont="1" applyFill="1" applyBorder="1" applyAlignment="1" applyProtection="1">
      <alignment horizontal="center"/>
      <protection hidden="1"/>
    </xf>
    <xf numFmtId="0" fontId="1" fillId="0" borderId="18" xfId="1" applyNumberFormat="1" applyFont="1" applyFill="1" applyBorder="1" applyAlignment="1" applyProtection="1">
      <alignment horizontal="left"/>
      <protection hidden="1"/>
    </xf>
    <xf numFmtId="176" fontId="1" fillId="0" borderId="18" xfId="1" applyNumberFormat="1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1" fillId="0" borderId="18" xfId="0" applyFont="1" applyBorder="1" applyProtection="1">
      <protection hidden="1"/>
    </xf>
    <xf numFmtId="1" fontId="1" fillId="0" borderId="18" xfId="1" applyNumberFormat="1" applyFont="1" applyBorder="1" applyProtection="1">
      <protection hidden="1"/>
    </xf>
    <xf numFmtId="1" fontId="1" fillId="5" borderId="18" xfId="1" applyNumberFormat="1" applyFont="1" applyFill="1" applyBorder="1" applyProtection="1">
      <protection hidden="1"/>
    </xf>
    <xf numFmtId="1" fontId="1" fillId="0" borderId="18" xfId="0" applyNumberFormat="1" applyFont="1" applyFill="1" applyBorder="1" applyAlignment="1" applyProtection="1">
      <alignment horizontal="right"/>
      <protection hidden="1"/>
    </xf>
    <xf numFmtId="1" fontId="0" fillId="0" borderId="18" xfId="0" applyNumberFormat="1" applyBorder="1" applyProtection="1">
      <protection hidden="1"/>
    </xf>
    <xf numFmtId="1" fontId="1" fillId="5" borderId="18" xfId="0" applyNumberFormat="1" applyFont="1" applyFill="1" applyBorder="1" applyAlignment="1" applyProtection="1">
      <alignment horizontal="right"/>
      <protection hidden="1"/>
    </xf>
    <xf numFmtId="1" fontId="0" fillId="5" borderId="18" xfId="0" applyNumberFormat="1" applyFill="1" applyBorder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168" fontId="1" fillId="0" borderId="21" xfId="0" applyNumberFormat="1" applyFont="1" applyFill="1" applyBorder="1" applyProtection="1">
      <protection hidden="1"/>
    </xf>
    <xf numFmtId="170" fontId="0" fillId="0" borderId="0" xfId="0" applyNumberForma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32" fillId="2" borderId="8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0" fillId="2" borderId="8" xfId="2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0" fillId="2" borderId="23" xfId="0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5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3" fontId="0" fillId="2" borderId="8" xfId="0" applyNumberForma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protection hidden="1"/>
    </xf>
    <xf numFmtId="0" fontId="0" fillId="2" borderId="0" xfId="0" applyFill="1" applyBorder="1" applyAlignment="1" applyProtection="1">
      <protection hidden="1"/>
    </xf>
    <xf numFmtId="0" fontId="25" fillId="2" borderId="8" xfId="0" applyFont="1" applyFill="1" applyBorder="1" applyAlignment="1" applyProtection="1">
      <protection hidden="1"/>
    </xf>
    <xf numFmtId="0" fontId="25" fillId="2" borderId="0" xfId="0" applyFont="1" applyFill="1" applyAlignment="1" applyProtection="1">
      <protection hidden="1"/>
    </xf>
    <xf numFmtId="0" fontId="0" fillId="2" borderId="8" xfId="0" applyFill="1" applyBorder="1" applyAlignment="1" applyProtection="1">
      <protection hidden="1"/>
    </xf>
    <xf numFmtId="0" fontId="20" fillId="0" borderId="0" xfId="2" applyAlignment="1" applyProtection="1">
      <protection hidden="1"/>
    </xf>
    <xf numFmtId="0" fontId="32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Protection="1">
      <protection hidden="1"/>
    </xf>
    <xf numFmtId="0" fontId="7" fillId="3" borderId="18" xfId="0" applyFont="1" applyFill="1" applyBorder="1" applyAlignment="1" applyProtection="1">
      <alignment horizontal="center"/>
      <protection locked="0"/>
    </xf>
    <xf numFmtId="165" fontId="7" fillId="3" borderId="18" xfId="0" applyNumberFormat="1" applyFont="1" applyFill="1" applyBorder="1" applyProtection="1">
      <protection locked="0"/>
    </xf>
    <xf numFmtId="2" fontId="7" fillId="3" borderId="18" xfId="0" applyNumberFormat="1" applyFont="1" applyFill="1" applyBorder="1" applyProtection="1">
      <protection locked="0"/>
    </xf>
    <xf numFmtId="170" fontId="7" fillId="3" borderId="18" xfId="0" applyNumberFormat="1" applyFont="1" applyFill="1" applyBorder="1" applyProtection="1">
      <protection locked="0"/>
    </xf>
    <xf numFmtId="0" fontId="7" fillId="2" borderId="8" xfId="0" applyFont="1" applyFill="1" applyBorder="1" applyAlignment="1" applyProtection="1">
      <protection hidden="1"/>
    </xf>
    <xf numFmtId="10" fontId="1" fillId="2" borderId="0" xfId="0" applyNumberFormat="1" applyFont="1" applyFill="1" applyBorder="1" applyAlignment="1" applyProtection="1">
      <alignment horizontal="center"/>
      <protection hidden="1"/>
    </xf>
    <xf numFmtId="0" fontId="31" fillId="2" borderId="0" xfId="0" applyFont="1" applyFill="1" applyBorder="1" applyAlignment="1" applyProtection="1">
      <alignment horizontal="center"/>
      <protection hidden="1"/>
    </xf>
    <xf numFmtId="167" fontId="4" fillId="2" borderId="0" xfId="1" applyNumberFormat="1" applyFont="1" applyFill="1" applyBorder="1" applyProtection="1">
      <protection hidden="1"/>
    </xf>
    <xf numFmtId="169" fontId="4" fillId="2" borderId="0" xfId="0" applyNumberFormat="1" applyFont="1" applyFill="1" applyBorder="1" applyAlignment="1" applyProtection="1">
      <alignment horizontal="center" vertical="center"/>
      <protection hidden="1"/>
    </xf>
    <xf numFmtId="0" fontId="30" fillId="2" borderId="0" xfId="0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Border="1" applyAlignment="1" applyProtection="1">
      <protection hidden="1"/>
    </xf>
    <xf numFmtId="0" fontId="33" fillId="4" borderId="18" xfId="0" applyFont="1" applyFill="1" applyBorder="1" applyAlignment="1" applyProtection="1">
      <alignment horizontal="center"/>
      <protection locked="0"/>
    </xf>
    <xf numFmtId="0" fontId="25" fillId="0" borderId="0" xfId="0" applyFont="1"/>
    <xf numFmtId="169" fontId="7" fillId="5" borderId="0" xfId="0" applyNumberFormat="1" applyFont="1" applyFill="1" applyBorder="1" applyAlignment="1" applyProtection="1">
      <alignment horizont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1" fillId="2" borderId="30" xfId="0" applyFont="1" applyFill="1" applyBorder="1" applyAlignment="1" applyProtection="1">
      <alignment horizontal="center"/>
      <protection hidden="1"/>
    </xf>
    <xf numFmtId="0" fontId="25" fillId="0" borderId="21" xfId="0" applyFont="1" applyBorder="1" applyProtection="1">
      <protection hidden="1"/>
    </xf>
    <xf numFmtId="0" fontId="1" fillId="0" borderId="21" xfId="0" applyFont="1" applyFill="1" applyBorder="1" applyAlignment="1" applyProtection="1">
      <alignment horizontal="left"/>
      <protection hidden="1"/>
    </xf>
    <xf numFmtId="0" fontId="1" fillId="0" borderId="23" xfId="0" applyFont="1" applyFill="1" applyBorder="1" applyAlignment="1" applyProtection="1">
      <alignment horizontal="left" vertical="center"/>
      <protection hidden="1"/>
    </xf>
    <xf numFmtId="0" fontId="1" fillId="0" borderId="21" xfId="0" applyFont="1" applyFill="1" applyBorder="1" applyAlignment="1" applyProtection="1">
      <alignment vertical="center"/>
      <protection hidden="1"/>
    </xf>
    <xf numFmtId="0" fontId="4" fillId="0" borderId="23" xfId="0" applyFont="1" applyFill="1" applyBorder="1" applyAlignment="1" applyProtection="1">
      <alignment horizontal="left"/>
      <protection hidden="1"/>
    </xf>
    <xf numFmtId="0" fontId="1" fillId="0" borderId="21" xfId="0" applyFont="1" applyFill="1" applyBorder="1" applyAlignment="1" applyProtection="1">
      <alignment horizontal="left" vertical="center"/>
      <protection hidden="1"/>
    </xf>
    <xf numFmtId="169" fontId="0" fillId="0" borderId="21" xfId="0" applyNumberFormat="1" applyFill="1" applyBorder="1" applyAlignment="1" applyProtection="1">
      <alignment horizontal="center"/>
      <protection hidden="1"/>
    </xf>
    <xf numFmtId="169" fontId="0" fillId="0" borderId="23" xfId="0" applyNumberFormat="1" applyFill="1" applyBorder="1" applyAlignment="1" applyProtection="1">
      <alignment horizontal="center"/>
      <protection hidden="1"/>
    </xf>
    <xf numFmtId="168" fontId="0" fillId="2" borderId="31" xfId="0" applyNumberFormat="1" applyFill="1" applyBorder="1" applyAlignment="1" applyProtection="1">
      <alignment horizontal="center"/>
      <protection hidden="1"/>
    </xf>
    <xf numFmtId="168" fontId="0" fillId="2" borderId="32" xfId="0" applyNumberFormat="1" applyFill="1" applyBorder="1" applyAlignment="1" applyProtection="1">
      <alignment horizontal="center"/>
      <protection hidden="1"/>
    </xf>
    <xf numFmtId="169" fontId="0" fillId="2" borderId="32" xfId="0" applyNumberFormat="1" applyFill="1" applyBorder="1" applyAlignment="1" applyProtection="1">
      <alignment horizontal="center"/>
      <protection hidden="1"/>
    </xf>
    <xf numFmtId="169" fontId="1" fillId="2" borderId="32" xfId="0" applyNumberFormat="1" applyFont="1" applyFill="1" applyBorder="1" applyAlignment="1" applyProtection="1">
      <alignment horizontal="center"/>
      <protection hidden="1"/>
    </xf>
    <xf numFmtId="169" fontId="0" fillId="2" borderId="33" xfId="0" applyNumberFormat="1" applyFill="1" applyBorder="1" applyAlignment="1" applyProtection="1">
      <alignment horizontal="center"/>
      <protection hidden="1"/>
    </xf>
    <xf numFmtId="169" fontId="33" fillId="4" borderId="18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hidden="1"/>
    </xf>
    <xf numFmtId="0" fontId="1" fillId="2" borderId="1" xfId="0" applyNumberFormat="1" applyFont="1" applyFill="1" applyBorder="1" applyAlignment="1" applyProtection="1">
      <alignment horizontal="left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0" fillId="2" borderId="35" xfId="0" applyFill="1" applyBorder="1" applyAlignment="1" applyProtection="1">
      <alignment horizontal="center"/>
      <protection hidden="1"/>
    </xf>
    <xf numFmtId="0" fontId="31" fillId="2" borderId="2" xfId="0" applyFont="1" applyFill="1" applyBorder="1" applyAlignment="1" applyProtection="1">
      <alignment horizontal="center"/>
      <protection hidden="1"/>
    </xf>
    <xf numFmtId="9" fontId="1" fillId="2" borderId="0" xfId="0" applyNumberFormat="1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0" fillId="2" borderId="0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25" fillId="2" borderId="0" xfId="0" applyFont="1" applyFill="1"/>
    <xf numFmtId="0" fontId="1" fillId="0" borderId="0" xfId="0" applyFont="1" applyFill="1" applyBorder="1" applyProtection="1">
      <protection hidden="1"/>
    </xf>
    <xf numFmtId="184" fontId="0" fillId="0" borderId="0" xfId="0" applyNumberFormat="1" applyFill="1" applyBorder="1" applyProtection="1">
      <protection hidden="1"/>
    </xf>
    <xf numFmtId="184" fontId="1" fillId="0" borderId="21" xfId="0" applyNumberFormat="1" applyFont="1" applyFill="1" applyBorder="1" applyProtection="1">
      <protection hidden="1"/>
    </xf>
    <xf numFmtId="183" fontId="1" fillId="0" borderId="21" xfId="0" applyNumberFormat="1" applyFont="1" applyFill="1" applyBorder="1" applyAlignment="1" applyProtection="1">
      <alignment horizontal="center"/>
      <protection hidden="1"/>
    </xf>
    <xf numFmtId="169" fontId="0" fillId="2" borderId="0" xfId="0" applyNumberForma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8" xfId="0" applyFill="1" applyBorder="1" applyAlignment="1" applyProtection="1">
      <protection hidden="1"/>
    </xf>
    <xf numFmtId="0" fontId="31" fillId="2" borderId="6" xfId="0" applyFont="1" applyFill="1" applyBorder="1" applyProtection="1">
      <protection hidden="1"/>
    </xf>
    <xf numFmtId="0" fontId="7" fillId="2" borderId="8" xfId="0" applyFont="1" applyFill="1" applyBorder="1" applyAlignment="1" applyProtection="1">
      <alignment vertical="center"/>
      <protection hidden="1"/>
    </xf>
    <xf numFmtId="0" fontId="0" fillId="2" borderId="0" xfId="0" applyFill="1"/>
    <xf numFmtId="0" fontId="31" fillId="2" borderId="7" xfId="0" applyFont="1" applyFill="1" applyBorder="1" applyProtection="1"/>
    <xf numFmtId="0" fontId="7" fillId="2" borderId="1" xfId="0" applyFont="1" applyFill="1" applyBorder="1" applyAlignment="1" applyProtection="1">
      <alignment horizontal="center" vertical="center"/>
      <protection hidden="1"/>
    </xf>
    <xf numFmtId="0" fontId="31" fillId="2" borderId="2" xfId="0" applyFont="1" applyFill="1" applyBorder="1" applyAlignment="1" applyProtection="1">
      <alignment horizontal="center"/>
    </xf>
    <xf numFmtId="0" fontId="31" fillId="2" borderId="7" xfId="0" applyFont="1" applyFill="1" applyBorder="1" applyAlignment="1" applyProtection="1">
      <alignment horizontal="center"/>
    </xf>
    <xf numFmtId="185" fontId="35" fillId="2" borderId="1" xfId="0" applyNumberFormat="1" applyFont="1" applyFill="1" applyBorder="1" applyAlignment="1" applyProtection="1">
      <alignment horizontal="center" vertical="center"/>
      <protection hidden="1"/>
    </xf>
    <xf numFmtId="185" fontId="35" fillId="2" borderId="8" xfId="0" applyNumberFormat="1" applyFont="1" applyFill="1" applyBorder="1" applyAlignment="1" applyProtection="1">
      <alignment horizontal="center" vertical="center"/>
      <protection hidden="1"/>
    </xf>
    <xf numFmtId="0" fontId="36" fillId="2" borderId="1" xfId="2" applyFont="1" applyFill="1" applyBorder="1" applyAlignment="1" applyProtection="1">
      <alignment horizontal="center" vertical="center"/>
      <protection hidden="1"/>
    </xf>
    <xf numFmtId="0" fontId="36" fillId="2" borderId="8" xfId="2" applyFont="1" applyFill="1" applyBorder="1" applyAlignment="1" applyProtection="1">
      <alignment horizontal="center" vertical="center"/>
      <protection hidden="1"/>
    </xf>
    <xf numFmtId="0" fontId="37" fillId="2" borderId="1" xfId="0" applyFont="1" applyFill="1" applyBorder="1" applyAlignment="1" applyProtection="1">
      <alignment horizontal="center"/>
      <protection hidden="1"/>
    </xf>
    <xf numFmtId="0" fontId="37" fillId="2" borderId="8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169" fontId="1" fillId="2" borderId="0" xfId="0" applyNumberFormat="1" applyFont="1" applyFill="1" applyBorder="1" applyAlignment="1" applyProtection="1">
      <alignment horizontal="left"/>
      <protection hidden="1"/>
    </xf>
    <xf numFmtId="169" fontId="1" fillId="2" borderId="8" xfId="0" applyNumberFormat="1" applyFont="1" applyFill="1" applyBorder="1" applyAlignment="1" applyProtection="1">
      <alignment horizontal="left"/>
      <protection hidden="1"/>
    </xf>
    <xf numFmtId="0" fontId="20" fillId="2" borderId="0" xfId="2" applyFill="1" applyBorder="1" applyAlignment="1" applyProtection="1">
      <alignment horizontal="center"/>
      <protection hidden="1"/>
    </xf>
    <xf numFmtId="0" fontId="28" fillId="2" borderId="1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25" fillId="2" borderId="21" xfId="0" applyFont="1" applyFill="1" applyBorder="1" applyAlignment="1">
      <alignment horizontal="center"/>
    </xf>
    <xf numFmtId="0" fontId="32" fillId="2" borderId="1" xfId="0" applyFont="1" applyFill="1" applyBorder="1" applyAlignment="1" applyProtection="1">
      <alignment horizontal="center"/>
      <protection hidden="1"/>
    </xf>
    <xf numFmtId="0" fontId="32" fillId="2" borderId="0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36" fillId="2" borderId="0" xfId="2" applyFont="1" applyFill="1" applyAlignment="1" applyProtection="1">
      <alignment horizontal="center" vertical="center"/>
      <protection hidden="1"/>
    </xf>
    <xf numFmtId="0" fontId="37" fillId="2" borderId="0" xfId="0" applyFont="1" applyFill="1" applyAlignment="1" applyProtection="1">
      <alignment horizontal="center"/>
      <protection hidden="1"/>
    </xf>
    <xf numFmtId="185" fontId="35" fillId="2" borderId="0" xfId="0" applyNumberFormat="1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Alignment="1" applyProtection="1">
      <alignment horizontal="center"/>
      <protection hidden="1"/>
    </xf>
    <xf numFmtId="0" fontId="32" fillId="2" borderId="8" xfId="0" applyFont="1" applyFill="1" applyBorder="1" applyAlignment="1" applyProtection="1">
      <alignment horizontal="center"/>
      <protection hidden="1"/>
    </xf>
    <xf numFmtId="0" fontId="0" fillId="2" borderId="12" xfId="0" applyFill="1" applyBorder="1" applyAlignment="1" applyProtection="1">
      <alignment horizontal="center"/>
      <protection hidden="1"/>
    </xf>
    <xf numFmtId="0" fontId="0" fillId="2" borderId="34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2" fontId="2" fillId="5" borderId="0" xfId="0" applyNumberFormat="1" applyFont="1" applyFill="1" applyBorder="1" applyAlignment="1" applyProtection="1">
      <alignment horizontal="center" vertical="center"/>
      <protection hidden="1"/>
    </xf>
    <xf numFmtId="2" fontId="2" fillId="5" borderId="2" xfId="0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center"/>
      <protection hidden="1"/>
    </xf>
    <xf numFmtId="0" fontId="34" fillId="2" borderId="0" xfId="0" applyFont="1" applyFill="1" applyBorder="1" applyAlignment="1" applyProtection="1">
      <alignment horizontal="center" vertical="center"/>
      <protection hidden="1"/>
    </xf>
    <xf numFmtId="0" fontId="34" fillId="2" borderId="8" xfId="0" applyFont="1" applyFill="1" applyBorder="1" applyAlignment="1" applyProtection="1">
      <alignment horizontal="center" vertical="center"/>
      <protection hidden="1"/>
    </xf>
    <xf numFmtId="0" fontId="34" fillId="2" borderId="2" xfId="0" applyFont="1" applyFill="1" applyBorder="1" applyAlignment="1" applyProtection="1">
      <alignment horizontal="center" vertical="center"/>
      <protection hidden="1"/>
    </xf>
    <xf numFmtId="0" fontId="34" fillId="2" borderId="7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8" xfId="0" applyFill="1" applyBorder="1" applyAlignment="1" applyProtection="1">
      <protection hidden="1"/>
    </xf>
    <xf numFmtId="0" fontId="25" fillId="2" borderId="0" xfId="0" applyFont="1" applyFill="1" applyAlignment="1" applyProtection="1">
      <protection hidden="1"/>
    </xf>
    <xf numFmtId="0" fontId="25" fillId="2" borderId="8" xfId="0" applyFont="1" applyFill="1" applyBorder="1" applyAlignment="1" applyProtection="1"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25" fillId="2" borderId="12" xfId="0" applyFont="1" applyFill="1" applyBorder="1" applyAlignment="1" applyProtection="1">
      <alignment horizontal="center"/>
      <protection hidden="1"/>
    </xf>
    <xf numFmtId="0" fontId="25" fillId="2" borderId="34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2" fontId="2" fillId="5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34" fillId="2" borderId="4" xfId="0" applyFont="1" applyFill="1" applyBorder="1" applyAlignment="1" applyProtection="1">
      <alignment horizontal="center" vertical="center"/>
      <protection hidden="1"/>
    </xf>
    <xf numFmtId="0" fontId="34" fillId="2" borderId="5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/>
      <protection hidden="1"/>
    </xf>
    <xf numFmtId="0" fontId="11" fillId="2" borderId="5" xfId="0" applyFont="1" applyFill="1" applyBorder="1" applyAlignment="1" applyProtection="1">
      <alignment horizontal="center"/>
      <protection hidden="1"/>
    </xf>
    <xf numFmtId="0" fontId="34" fillId="2" borderId="3" xfId="0" applyFont="1" applyFill="1" applyBorder="1" applyAlignment="1" applyProtection="1">
      <alignment horizontal="center"/>
      <protection hidden="1"/>
    </xf>
    <xf numFmtId="0" fontId="34" fillId="2" borderId="4" xfId="0" applyFont="1" applyFill="1" applyBorder="1" applyAlignment="1" applyProtection="1">
      <alignment horizontal="center"/>
      <protection hidden="1"/>
    </xf>
    <xf numFmtId="0" fontId="34" fillId="2" borderId="5" xfId="0" applyFont="1" applyFill="1" applyBorder="1" applyAlignment="1" applyProtection="1">
      <alignment horizontal="center"/>
      <protection hidden="1"/>
    </xf>
    <xf numFmtId="0" fontId="0" fillId="2" borderId="23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5" fillId="2" borderId="0" xfId="0" applyFont="1" applyFill="1" applyBorder="1" applyAlignment="1" applyProtection="1">
      <alignment horizontal="center"/>
      <protection hidden="1"/>
    </xf>
    <xf numFmtId="0" fontId="25" fillId="2" borderId="8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1" fillId="2" borderId="36" xfId="0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 applyProtection="1">
      <alignment horizontal="center"/>
      <protection hidden="1"/>
    </xf>
    <xf numFmtId="0" fontId="0" fillId="2" borderId="18" xfId="0" applyFill="1" applyBorder="1" applyAlignment="1" applyProtection="1">
      <alignment horizontal="center"/>
      <protection hidden="1"/>
    </xf>
    <xf numFmtId="0" fontId="9" fillId="2" borderId="18" xfId="0" applyFont="1" applyFill="1" applyBorder="1" applyAlignment="1" applyProtection="1">
      <alignment horizontal="center"/>
      <protection hidden="1"/>
    </xf>
    <xf numFmtId="0" fontId="1" fillId="2" borderId="29" xfId="0" applyFont="1" applyFill="1" applyBorder="1" applyAlignment="1" applyProtection="1">
      <alignment horizontal="center"/>
      <protection hidden="1"/>
    </xf>
    <xf numFmtId="0" fontId="25" fillId="2" borderId="18" xfId="0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25" fillId="2" borderId="1" xfId="0" applyFont="1" applyFill="1" applyBorder="1" applyAlignment="1" applyProtection="1">
      <alignment horizontal="center"/>
      <protection hidden="1"/>
    </xf>
  </cellXfs>
  <cellStyles count="4">
    <cellStyle name="1000-sep (2 dec)" xfId="1" builtinId="3"/>
    <cellStyle name="Hyperlink" xfId="2" builtinId="8"/>
    <cellStyle name="Normal" xfId="0" builtinId="0"/>
    <cellStyle name="Pro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 baseline="0"/>
            </a:pPr>
            <a:r>
              <a:rPr lang="da-DK" baseline="0"/>
              <a:t>ZL and ZC as a function of the frequency</a:t>
            </a:r>
          </a:p>
          <a:p>
            <a:pPr>
              <a:defRPr baseline="0"/>
            </a:pPr>
            <a:r>
              <a:rPr lang="da-DK" baseline="0"/>
              <a:t>The intersection is fres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Resonance!$T$3</c:f>
              <c:strCache>
                <c:ptCount val="1"/>
                <c:pt idx="0">
                  <c:v>ZL Ohm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dLblPos val="t"/>
            <c:showVal val="1"/>
          </c:dLbls>
          <c:cat>
            <c:numRef>
              <c:f>Resonance!$W$2:$AF$2</c:f>
              <c:numCache>
                <c:formatCode>0</c:formatCode>
                <c:ptCount val="10"/>
                <c:pt idx="0">
                  <c:v>57.5</c:v>
                </c:pt>
                <c:pt idx="1">
                  <c:v>62.5</c:v>
                </c:pt>
                <c:pt idx="2">
                  <c:v>67.5</c:v>
                </c:pt>
                <c:pt idx="3">
                  <c:v>72.5</c:v>
                </c:pt>
                <c:pt idx="4">
                  <c:v>77.5</c:v>
                </c:pt>
                <c:pt idx="5">
                  <c:v>82.5</c:v>
                </c:pt>
                <c:pt idx="6">
                  <c:v>87.5</c:v>
                </c:pt>
                <c:pt idx="7">
                  <c:v>92.5</c:v>
                </c:pt>
                <c:pt idx="8">
                  <c:v>97.5</c:v>
                </c:pt>
                <c:pt idx="9">
                  <c:v>102.5</c:v>
                </c:pt>
              </c:numCache>
            </c:numRef>
          </c:cat>
          <c:val>
            <c:numRef>
              <c:f>Resonance!$W$3:$AF$3</c:f>
              <c:numCache>
                <c:formatCode>0</c:formatCode>
                <c:ptCount val="10"/>
                <c:pt idx="0">
                  <c:v>461.71140284624352</c:v>
                </c:pt>
                <c:pt idx="1">
                  <c:v>501.86022048504719</c:v>
                </c:pt>
                <c:pt idx="2">
                  <c:v>542.00903812385104</c:v>
                </c:pt>
                <c:pt idx="3">
                  <c:v>582.15785576265478</c:v>
                </c:pt>
                <c:pt idx="4">
                  <c:v>622.30667340145862</c:v>
                </c:pt>
                <c:pt idx="5">
                  <c:v>662.45549104026225</c:v>
                </c:pt>
                <c:pt idx="6">
                  <c:v>702.60430867906609</c:v>
                </c:pt>
                <c:pt idx="7">
                  <c:v>742.75312631786983</c:v>
                </c:pt>
                <c:pt idx="8">
                  <c:v>782.90194395667368</c:v>
                </c:pt>
                <c:pt idx="9">
                  <c:v>823.05076159547741</c:v>
                </c:pt>
              </c:numCache>
            </c:numRef>
          </c:val>
        </c:ser>
        <c:ser>
          <c:idx val="2"/>
          <c:order val="1"/>
          <c:tx>
            <c:strRef>
              <c:f>Resonance!$T$4</c:f>
              <c:strCache>
                <c:ptCount val="1"/>
                <c:pt idx="0">
                  <c:v>ZC Ohm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da-DK"/>
              </a:p>
            </c:txPr>
            <c:showVal val="1"/>
          </c:dLbls>
          <c:cat>
            <c:numRef>
              <c:f>Resonance!$W$2:$AF$2</c:f>
              <c:numCache>
                <c:formatCode>0</c:formatCode>
                <c:ptCount val="10"/>
                <c:pt idx="0">
                  <c:v>57.5</c:v>
                </c:pt>
                <c:pt idx="1">
                  <c:v>62.5</c:v>
                </c:pt>
                <c:pt idx="2">
                  <c:v>67.5</c:v>
                </c:pt>
                <c:pt idx="3">
                  <c:v>72.5</c:v>
                </c:pt>
                <c:pt idx="4">
                  <c:v>77.5</c:v>
                </c:pt>
                <c:pt idx="5">
                  <c:v>82.5</c:v>
                </c:pt>
                <c:pt idx="6">
                  <c:v>87.5</c:v>
                </c:pt>
                <c:pt idx="7">
                  <c:v>92.5</c:v>
                </c:pt>
                <c:pt idx="8">
                  <c:v>97.5</c:v>
                </c:pt>
                <c:pt idx="9">
                  <c:v>102.5</c:v>
                </c:pt>
              </c:numCache>
            </c:numRef>
          </c:cat>
          <c:val>
            <c:numRef>
              <c:f>Resonance!$W$4:$AF$4</c:f>
              <c:numCache>
                <c:formatCode>0</c:formatCode>
                <c:ptCount val="10"/>
                <c:pt idx="0">
                  <c:v>838.76122841578558</c:v>
                </c:pt>
                <c:pt idx="1">
                  <c:v>771.66033014252287</c:v>
                </c:pt>
                <c:pt idx="2">
                  <c:v>714.50030568752106</c:v>
                </c:pt>
                <c:pt idx="3">
                  <c:v>665.22442253665758</c:v>
                </c:pt>
                <c:pt idx="4">
                  <c:v>622.30671785687332</c:v>
                </c:pt>
                <c:pt idx="5">
                  <c:v>584.59115919888097</c:v>
                </c:pt>
                <c:pt idx="6">
                  <c:v>551.18595010180206</c:v>
                </c:pt>
                <c:pt idx="7">
                  <c:v>521.39211496116411</c:v>
                </c:pt>
                <c:pt idx="8">
                  <c:v>494.65405778366852</c:v>
                </c:pt>
                <c:pt idx="9">
                  <c:v>470.52459155031886</c:v>
                </c:pt>
              </c:numCache>
            </c:numRef>
          </c:val>
        </c:ser>
        <c:ser>
          <c:idx val="0"/>
          <c:order val="2"/>
          <c:tx>
            <c:strRef>
              <c:f>Resonance!$T$5</c:f>
              <c:strCache>
                <c:ptCount val="1"/>
                <c:pt idx="0">
                  <c:v>ZL ZC fres</c:v>
                </c:pt>
              </c:strCache>
            </c:strRef>
          </c:tx>
          <c:marker>
            <c:symbol val="none"/>
          </c:marker>
          <c:val>
            <c:numRef>
              <c:f>Resonance!$W$5:$AF$5</c:f>
              <c:numCache>
                <c:formatCode>0</c:formatCode>
                <c:ptCount val="10"/>
                <c:pt idx="0">
                  <c:v>461.71140284624352</c:v>
                </c:pt>
                <c:pt idx="1">
                  <c:v>501.86022048504719</c:v>
                </c:pt>
                <c:pt idx="2">
                  <c:v>542.00903812385104</c:v>
                </c:pt>
                <c:pt idx="3">
                  <c:v>582.15785576265478</c:v>
                </c:pt>
                <c:pt idx="4">
                  <c:v>622.30669562916592</c:v>
                </c:pt>
                <c:pt idx="5">
                  <c:v>584.59115919888097</c:v>
                </c:pt>
                <c:pt idx="6">
                  <c:v>551.18595010180206</c:v>
                </c:pt>
                <c:pt idx="7">
                  <c:v>521.39211496116411</c:v>
                </c:pt>
                <c:pt idx="8">
                  <c:v>494.65405778366852</c:v>
                </c:pt>
                <c:pt idx="9">
                  <c:v>470.52459155031886</c:v>
                </c:pt>
              </c:numCache>
            </c:numRef>
          </c:val>
        </c:ser>
        <c:marker val="1"/>
        <c:axId val="122889344"/>
        <c:axId val="122891264"/>
      </c:lineChart>
      <c:catAx>
        <c:axId val="122889344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KHz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2891264"/>
        <c:crosses val="autoZero"/>
        <c:auto val="1"/>
        <c:lblAlgn val="ctr"/>
        <c:lblOffset val="100"/>
      </c:catAx>
      <c:valAx>
        <c:axId val="1228912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Ohm</a:t>
                </a:r>
              </a:p>
            </c:rich>
          </c:tx>
          <c:layout/>
        </c:title>
        <c:numFmt formatCode="0" sourceLinked="1"/>
        <c:tickLblPos val="nextTo"/>
        <c:crossAx val="122889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spPr>
        <a:noFill/>
      </c:spPr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da-DK"/>
        </a:p>
      </c:txPr>
    </c:legend>
    <c:plotVisOnly val="1"/>
    <c:dispBlanksAs val="gap"/>
  </c:chart>
  <c:spPr>
    <a:gradFill>
      <a:gsLst>
        <a:gs pos="0">
          <a:srgbClr val="E6DCAC"/>
        </a:gs>
        <a:gs pos="12000">
          <a:srgbClr val="E6D78A"/>
        </a:gs>
        <a:gs pos="30000">
          <a:srgbClr val="C7AC4C"/>
        </a:gs>
        <a:gs pos="45000">
          <a:srgbClr val="E6D78A"/>
        </a:gs>
        <a:gs pos="77000">
          <a:srgbClr val="C7AC4C"/>
        </a:gs>
        <a:gs pos="100000">
          <a:srgbClr val="E6DCAC"/>
        </a:gs>
      </a:gsLst>
      <a:lin ang="2700000" scaled="1"/>
    </a:gradFill>
    <a:ln w="12700">
      <a:solidFill>
        <a:srgbClr val="000000"/>
      </a:solidFill>
    </a:ln>
  </c:spPr>
  <c:txPr>
    <a:bodyPr/>
    <a:lstStyle/>
    <a:p>
      <a:pPr>
        <a:defRPr sz="1100"/>
      </a:pPr>
      <a:endParaRPr lang="da-DK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50</xdr:row>
      <xdr:rowOff>30480</xdr:rowOff>
    </xdr:from>
    <xdr:to>
      <xdr:col>8</xdr:col>
      <xdr:colOff>0</xdr:colOff>
      <xdr:row>83</xdr:row>
      <xdr:rowOff>30480</xdr:rowOff>
    </xdr:to>
    <xdr:graphicFrame macro="">
      <xdr:nvGraphicFramePr>
        <xdr:cNvPr id="2054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68580</xdr:colOff>
      <xdr:row>48</xdr:row>
      <xdr:rowOff>0</xdr:rowOff>
    </xdr:from>
    <xdr:to>
      <xdr:col>17</xdr:col>
      <xdr:colOff>1615440</xdr:colOff>
      <xdr:row>57</xdr:row>
      <xdr:rowOff>144780</xdr:rowOff>
    </xdr:to>
    <xdr:pic>
      <xdr:nvPicPr>
        <xdr:cNvPr id="2055" name="Picture 3" descr="http://www.microwaves101.com/encyclopedia/images/Skin%20Depth/Equation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214080" y="8488680"/>
          <a:ext cx="3512820" cy="1661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59</xdr:row>
      <xdr:rowOff>0</xdr:rowOff>
    </xdr:from>
    <xdr:to>
      <xdr:col>19</xdr:col>
      <xdr:colOff>647700</xdr:colOff>
      <xdr:row>80</xdr:row>
      <xdr:rowOff>121920</xdr:rowOff>
    </xdr:to>
    <xdr:pic>
      <xdr:nvPicPr>
        <xdr:cNvPr id="2056" name="Picture 4" descr="http://www.microwaves101.com/encyclopedia/images/Skin%20Depth/versusfreq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0" y="10340340"/>
          <a:ext cx="4792980" cy="3649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731520</xdr:colOff>
      <xdr:row>18</xdr:row>
      <xdr:rowOff>45720</xdr:rowOff>
    </xdr:from>
    <xdr:to>
      <xdr:col>8</xdr:col>
      <xdr:colOff>685800</xdr:colOff>
      <xdr:row>54</xdr:row>
      <xdr:rowOff>121920</xdr:rowOff>
    </xdr:to>
    <xdr:pic>
      <xdr:nvPicPr>
        <xdr:cNvPr id="4097" name="Picture 1" descr="http://www.fair-rite.com/catalog_pages/rodinfo/rod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6120" y="3459480"/>
          <a:ext cx="5829300" cy="628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274320</xdr:colOff>
      <xdr:row>20</xdr:row>
      <xdr:rowOff>30480</xdr:rowOff>
    </xdr:from>
    <xdr:to>
      <xdr:col>9</xdr:col>
      <xdr:colOff>815340</xdr:colOff>
      <xdr:row>28</xdr:row>
      <xdr:rowOff>137160</xdr:rowOff>
    </xdr:to>
    <xdr:sp macro="" textlink="">
      <xdr:nvSpPr>
        <xdr:cNvPr id="3" name="Ellipse 2"/>
        <xdr:cNvSpPr/>
      </xdr:nvSpPr>
      <xdr:spPr>
        <a:xfrm>
          <a:off x="5151120" y="3992880"/>
          <a:ext cx="1623060" cy="14478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8</xdr:col>
      <xdr:colOff>662940</xdr:colOff>
      <xdr:row>22</xdr:row>
      <xdr:rowOff>0</xdr:rowOff>
    </xdr:from>
    <xdr:to>
      <xdr:col>9</xdr:col>
      <xdr:colOff>426720</xdr:colOff>
      <xdr:row>26</xdr:row>
      <xdr:rowOff>137160</xdr:rowOff>
    </xdr:to>
    <xdr:sp macro="" textlink="">
      <xdr:nvSpPr>
        <xdr:cNvPr id="4" name="Ellipse 3"/>
        <xdr:cNvSpPr/>
      </xdr:nvSpPr>
      <xdr:spPr>
        <a:xfrm>
          <a:off x="5539740" y="4297680"/>
          <a:ext cx="845820" cy="80772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9</xdr:col>
      <xdr:colOff>7620</xdr:colOff>
      <xdr:row>15</xdr:row>
      <xdr:rowOff>0</xdr:rowOff>
    </xdr:from>
    <xdr:to>
      <xdr:col>9</xdr:col>
      <xdr:colOff>7620</xdr:colOff>
      <xdr:row>24</xdr:row>
      <xdr:rowOff>83820</xdr:rowOff>
    </xdr:to>
    <xdr:cxnSp macro="">
      <xdr:nvCxnSpPr>
        <xdr:cNvPr id="6" name="Lige forbindelse 5"/>
        <xdr:cNvCxnSpPr/>
      </xdr:nvCxnSpPr>
      <xdr:spPr>
        <a:xfrm flipV="1">
          <a:off x="6355080" y="3009900"/>
          <a:ext cx="0" cy="1691640"/>
        </a:xfrm>
        <a:prstGeom prst="line">
          <a:avLst/>
        </a:prstGeom>
        <a:ln w="12700">
          <a:solidFill>
            <a:srgbClr val="00B0F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815340</xdr:colOff>
      <xdr:row>14</xdr:row>
      <xdr:rowOff>160020</xdr:rowOff>
    </xdr:from>
    <xdr:to>
      <xdr:col>9</xdr:col>
      <xdr:colOff>815340</xdr:colOff>
      <xdr:row>24</xdr:row>
      <xdr:rowOff>83820</xdr:rowOff>
    </xdr:to>
    <xdr:cxnSp macro="">
      <xdr:nvCxnSpPr>
        <xdr:cNvPr id="8" name="Lige forbindelse 7"/>
        <xdr:cNvCxnSpPr>
          <a:stCxn id="3" idx="6"/>
        </xdr:cNvCxnSpPr>
      </xdr:nvCxnSpPr>
      <xdr:spPr>
        <a:xfrm flipV="1">
          <a:off x="6774180" y="3116580"/>
          <a:ext cx="0" cy="160020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426720</xdr:colOff>
      <xdr:row>17</xdr:row>
      <xdr:rowOff>7620</xdr:rowOff>
    </xdr:from>
    <xdr:to>
      <xdr:col>9</xdr:col>
      <xdr:colOff>426720</xdr:colOff>
      <xdr:row>24</xdr:row>
      <xdr:rowOff>68580</xdr:rowOff>
    </xdr:to>
    <xdr:cxnSp macro="">
      <xdr:nvCxnSpPr>
        <xdr:cNvPr id="12" name="Lige forbindelse 11"/>
        <xdr:cNvCxnSpPr>
          <a:stCxn id="4" idx="6"/>
        </xdr:cNvCxnSpPr>
      </xdr:nvCxnSpPr>
      <xdr:spPr>
        <a:xfrm flipV="1">
          <a:off x="6385560" y="3467100"/>
          <a:ext cx="0" cy="123444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828040</xdr:colOff>
      <xdr:row>16</xdr:row>
      <xdr:rowOff>0</xdr:rowOff>
    </xdr:to>
    <xdr:cxnSp macro="">
      <xdr:nvCxnSpPr>
        <xdr:cNvPr id="14" name="Lige pilforbindelse 13"/>
        <xdr:cNvCxnSpPr/>
      </xdr:nvCxnSpPr>
      <xdr:spPr>
        <a:xfrm>
          <a:off x="6355080" y="3225800"/>
          <a:ext cx="828040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430306</xdr:colOff>
      <xdr:row>19</xdr:row>
      <xdr:rowOff>76200</xdr:rowOff>
    </xdr:from>
    <xdr:to>
      <xdr:col>9</xdr:col>
      <xdr:colOff>815788</xdr:colOff>
      <xdr:row>19</xdr:row>
      <xdr:rowOff>80682</xdr:rowOff>
    </xdr:to>
    <xdr:cxnSp macro="">
      <xdr:nvCxnSpPr>
        <xdr:cNvPr id="21" name="Lige pilforbindelse 20"/>
        <xdr:cNvCxnSpPr/>
      </xdr:nvCxnSpPr>
      <xdr:spPr>
        <a:xfrm flipV="1">
          <a:off x="6777318" y="3818965"/>
          <a:ext cx="385482" cy="4482"/>
        </a:xfrm>
        <a:prstGeom prst="straightConnector1">
          <a:avLst/>
        </a:prstGeom>
        <a:ln w="127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274320</xdr:colOff>
      <xdr:row>13</xdr:row>
      <xdr:rowOff>30480</xdr:rowOff>
    </xdr:from>
    <xdr:to>
      <xdr:col>9</xdr:col>
      <xdr:colOff>815340</xdr:colOff>
      <xdr:row>21</xdr:row>
      <xdr:rowOff>137160</xdr:rowOff>
    </xdr:to>
    <xdr:sp macro="" textlink="">
      <xdr:nvSpPr>
        <xdr:cNvPr id="31" name="Ellipse 30"/>
        <xdr:cNvSpPr/>
      </xdr:nvSpPr>
      <xdr:spPr>
        <a:xfrm>
          <a:off x="5654040" y="3916680"/>
          <a:ext cx="1623060" cy="15544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8</xdr:col>
      <xdr:colOff>662940</xdr:colOff>
      <xdr:row>15</xdr:row>
      <xdr:rowOff>0</xdr:rowOff>
    </xdr:from>
    <xdr:to>
      <xdr:col>9</xdr:col>
      <xdr:colOff>426720</xdr:colOff>
      <xdr:row>19</xdr:row>
      <xdr:rowOff>137160</xdr:rowOff>
    </xdr:to>
    <xdr:sp macro="" textlink="">
      <xdr:nvSpPr>
        <xdr:cNvPr id="32" name="Ellipse 31"/>
        <xdr:cNvSpPr/>
      </xdr:nvSpPr>
      <xdr:spPr>
        <a:xfrm>
          <a:off x="6042660" y="4267200"/>
          <a:ext cx="845820" cy="83820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9</xdr:col>
      <xdr:colOff>7620</xdr:colOff>
      <xdr:row>8</xdr:row>
      <xdr:rowOff>0</xdr:rowOff>
    </xdr:from>
    <xdr:to>
      <xdr:col>9</xdr:col>
      <xdr:colOff>7620</xdr:colOff>
      <xdr:row>17</xdr:row>
      <xdr:rowOff>83820</xdr:rowOff>
    </xdr:to>
    <xdr:cxnSp macro="">
      <xdr:nvCxnSpPr>
        <xdr:cNvPr id="33" name="Lige forbindelse 32"/>
        <xdr:cNvCxnSpPr/>
      </xdr:nvCxnSpPr>
      <xdr:spPr>
        <a:xfrm flipV="1">
          <a:off x="6469380" y="3009900"/>
          <a:ext cx="0" cy="1691640"/>
        </a:xfrm>
        <a:prstGeom prst="line">
          <a:avLst/>
        </a:prstGeom>
        <a:ln w="12700">
          <a:solidFill>
            <a:srgbClr val="00B0F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815340</xdr:colOff>
      <xdr:row>7</xdr:row>
      <xdr:rowOff>160020</xdr:rowOff>
    </xdr:from>
    <xdr:to>
      <xdr:col>9</xdr:col>
      <xdr:colOff>815340</xdr:colOff>
      <xdr:row>17</xdr:row>
      <xdr:rowOff>83820</xdr:rowOff>
    </xdr:to>
    <xdr:cxnSp macro="">
      <xdr:nvCxnSpPr>
        <xdr:cNvPr id="34" name="Lige forbindelse 33"/>
        <xdr:cNvCxnSpPr>
          <a:stCxn id="31" idx="6"/>
        </xdr:cNvCxnSpPr>
      </xdr:nvCxnSpPr>
      <xdr:spPr>
        <a:xfrm flipV="1">
          <a:off x="7277100" y="2979420"/>
          <a:ext cx="0" cy="172212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426720</xdr:colOff>
      <xdr:row>10</xdr:row>
      <xdr:rowOff>7620</xdr:rowOff>
    </xdr:from>
    <xdr:to>
      <xdr:col>9</xdr:col>
      <xdr:colOff>426720</xdr:colOff>
      <xdr:row>17</xdr:row>
      <xdr:rowOff>68580</xdr:rowOff>
    </xdr:to>
    <xdr:cxnSp macro="">
      <xdr:nvCxnSpPr>
        <xdr:cNvPr id="35" name="Lige forbindelse 34"/>
        <xdr:cNvCxnSpPr>
          <a:stCxn id="32" idx="6"/>
        </xdr:cNvCxnSpPr>
      </xdr:nvCxnSpPr>
      <xdr:spPr>
        <a:xfrm flipV="1">
          <a:off x="6888480" y="3368040"/>
          <a:ext cx="0" cy="131826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828040</xdr:colOff>
      <xdr:row>9</xdr:row>
      <xdr:rowOff>0</xdr:rowOff>
    </xdr:to>
    <xdr:cxnSp macro="">
      <xdr:nvCxnSpPr>
        <xdr:cNvPr id="36" name="Lige pilforbindelse 35"/>
        <xdr:cNvCxnSpPr/>
      </xdr:nvCxnSpPr>
      <xdr:spPr>
        <a:xfrm>
          <a:off x="6461760" y="3185160"/>
          <a:ext cx="828040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430306</xdr:colOff>
      <xdr:row>12</xdr:row>
      <xdr:rowOff>76200</xdr:rowOff>
    </xdr:from>
    <xdr:to>
      <xdr:col>9</xdr:col>
      <xdr:colOff>815788</xdr:colOff>
      <xdr:row>12</xdr:row>
      <xdr:rowOff>80682</xdr:rowOff>
    </xdr:to>
    <xdr:cxnSp macro="">
      <xdr:nvCxnSpPr>
        <xdr:cNvPr id="37" name="Lige pilforbindelse 36"/>
        <xdr:cNvCxnSpPr/>
      </xdr:nvCxnSpPr>
      <xdr:spPr>
        <a:xfrm flipV="1">
          <a:off x="6892066" y="3787140"/>
          <a:ext cx="385482" cy="4482"/>
        </a:xfrm>
        <a:prstGeom prst="straightConnector1">
          <a:avLst/>
        </a:prstGeom>
        <a:ln w="127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36</xdr:row>
      <xdr:rowOff>30480</xdr:rowOff>
    </xdr:from>
    <xdr:to>
      <xdr:col>9</xdr:col>
      <xdr:colOff>815340</xdr:colOff>
      <xdr:row>44</xdr:row>
      <xdr:rowOff>137160</xdr:rowOff>
    </xdr:to>
    <xdr:sp macro="" textlink="">
      <xdr:nvSpPr>
        <xdr:cNvPr id="38" name="Ellipse 37"/>
        <xdr:cNvSpPr/>
      </xdr:nvSpPr>
      <xdr:spPr>
        <a:xfrm>
          <a:off x="5654040" y="2583180"/>
          <a:ext cx="1623060" cy="15544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8</xdr:col>
      <xdr:colOff>662940</xdr:colOff>
      <xdr:row>38</xdr:row>
      <xdr:rowOff>0</xdr:rowOff>
    </xdr:from>
    <xdr:to>
      <xdr:col>9</xdr:col>
      <xdr:colOff>426720</xdr:colOff>
      <xdr:row>42</xdr:row>
      <xdr:rowOff>137160</xdr:rowOff>
    </xdr:to>
    <xdr:sp macro="" textlink="">
      <xdr:nvSpPr>
        <xdr:cNvPr id="39" name="Ellipse 38"/>
        <xdr:cNvSpPr/>
      </xdr:nvSpPr>
      <xdr:spPr>
        <a:xfrm>
          <a:off x="6042660" y="2933700"/>
          <a:ext cx="845820" cy="83820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9</xdr:col>
      <xdr:colOff>7620</xdr:colOff>
      <xdr:row>31</xdr:row>
      <xdr:rowOff>0</xdr:rowOff>
    </xdr:from>
    <xdr:to>
      <xdr:col>9</xdr:col>
      <xdr:colOff>7620</xdr:colOff>
      <xdr:row>40</xdr:row>
      <xdr:rowOff>83820</xdr:rowOff>
    </xdr:to>
    <xdr:cxnSp macro="">
      <xdr:nvCxnSpPr>
        <xdr:cNvPr id="40" name="Lige forbindelse 39"/>
        <xdr:cNvCxnSpPr/>
      </xdr:nvCxnSpPr>
      <xdr:spPr>
        <a:xfrm flipV="1">
          <a:off x="6469380" y="1676400"/>
          <a:ext cx="0" cy="1691640"/>
        </a:xfrm>
        <a:prstGeom prst="line">
          <a:avLst/>
        </a:prstGeom>
        <a:ln w="12700">
          <a:solidFill>
            <a:srgbClr val="00B0F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815340</xdr:colOff>
      <xdr:row>30</xdr:row>
      <xdr:rowOff>160020</xdr:rowOff>
    </xdr:from>
    <xdr:to>
      <xdr:col>9</xdr:col>
      <xdr:colOff>815340</xdr:colOff>
      <xdr:row>40</xdr:row>
      <xdr:rowOff>83820</xdr:rowOff>
    </xdr:to>
    <xdr:cxnSp macro="">
      <xdr:nvCxnSpPr>
        <xdr:cNvPr id="41" name="Lige forbindelse 40"/>
        <xdr:cNvCxnSpPr>
          <a:stCxn id="38" idx="6"/>
        </xdr:cNvCxnSpPr>
      </xdr:nvCxnSpPr>
      <xdr:spPr>
        <a:xfrm flipV="1">
          <a:off x="7277100" y="1645920"/>
          <a:ext cx="0" cy="172212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426720</xdr:colOff>
      <xdr:row>33</xdr:row>
      <xdr:rowOff>7620</xdr:rowOff>
    </xdr:from>
    <xdr:to>
      <xdr:col>9</xdr:col>
      <xdr:colOff>426720</xdr:colOff>
      <xdr:row>40</xdr:row>
      <xdr:rowOff>68580</xdr:rowOff>
    </xdr:to>
    <xdr:cxnSp macro="">
      <xdr:nvCxnSpPr>
        <xdr:cNvPr id="42" name="Lige forbindelse 41"/>
        <xdr:cNvCxnSpPr>
          <a:stCxn id="39" idx="6"/>
        </xdr:cNvCxnSpPr>
      </xdr:nvCxnSpPr>
      <xdr:spPr>
        <a:xfrm flipV="1">
          <a:off x="6888480" y="2034540"/>
          <a:ext cx="0" cy="131826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32</xdr:row>
      <xdr:rowOff>0</xdr:rowOff>
    </xdr:from>
    <xdr:to>
      <xdr:col>9</xdr:col>
      <xdr:colOff>828040</xdr:colOff>
      <xdr:row>32</xdr:row>
      <xdr:rowOff>0</xdr:rowOff>
    </xdr:to>
    <xdr:cxnSp macro="">
      <xdr:nvCxnSpPr>
        <xdr:cNvPr id="43" name="Lige pilforbindelse 42"/>
        <xdr:cNvCxnSpPr/>
      </xdr:nvCxnSpPr>
      <xdr:spPr>
        <a:xfrm>
          <a:off x="6461760" y="1851660"/>
          <a:ext cx="828040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430306</xdr:colOff>
      <xdr:row>35</xdr:row>
      <xdr:rowOff>76200</xdr:rowOff>
    </xdr:from>
    <xdr:to>
      <xdr:col>9</xdr:col>
      <xdr:colOff>815788</xdr:colOff>
      <xdr:row>35</xdr:row>
      <xdr:rowOff>80682</xdr:rowOff>
    </xdr:to>
    <xdr:cxnSp macro="">
      <xdr:nvCxnSpPr>
        <xdr:cNvPr id="44" name="Lige pilforbindelse 43"/>
        <xdr:cNvCxnSpPr/>
      </xdr:nvCxnSpPr>
      <xdr:spPr>
        <a:xfrm flipV="1">
          <a:off x="6892066" y="2453640"/>
          <a:ext cx="385482" cy="4482"/>
        </a:xfrm>
        <a:prstGeom prst="straightConnector1">
          <a:avLst/>
        </a:prstGeom>
        <a:ln w="1270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://www.siversima.com/rf-calculator/skin-depth-calculator/?gclid=CJOAwPGqrbICFWh2cAod3XAA2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alter-lystfisker.dk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://www.walter-lystfisker.dk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26"/>
  <sheetViews>
    <sheetView tabSelected="1" zoomScaleNormal="100" workbookViewId="0">
      <selection sqref="A1:H1"/>
    </sheetView>
  </sheetViews>
  <sheetFormatPr defaultColWidth="9.140625" defaultRowHeight="12.75"/>
  <cols>
    <col min="1" max="1" width="30.7109375" style="27" customWidth="1"/>
    <col min="2" max="5" width="17.7109375" style="27" customWidth="1"/>
    <col min="6" max="6" width="22.7109375" style="27" customWidth="1"/>
    <col min="7" max="7" width="34.7109375" style="27" customWidth="1"/>
    <col min="8" max="8" width="4.7109375" style="27" customWidth="1"/>
    <col min="9" max="9" width="24.7109375" style="27" customWidth="1"/>
    <col min="10" max="10" width="11.140625" style="27" bestFit="1" customWidth="1"/>
    <col min="11" max="11" width="14" style="27" customWidth="1"/>
    <col min="12" max="12" width="13.7109375" style="2" customWidth="1"/>
    <col min="13" max="13" width="10.7109375" style="2" customWidth="1"/>
    <col min="14" max="14" width="17.7109375" style="2" bestFit="1" customWidth="1"/>
    <col min="15" max="15" width="23.28515625" style="2" bestFit="1" customWidth="1"/>
    <col min="16" max="16" width="28.7109375" style="2" bestFit="1" customWidth="1"/>
    <col min="17" max="17" width="28.7109375" style="2" customWidth="1"/>
    <col min="18" max="18" width="24.28515625" style="2" customWidth="1"/>
    <col min="19" max="19" width="7.5703125" style="27" customWidth="1"/>
    <col min="20" max="20" width="12.28515625" style="27" bestFit="1" customWidth="1"/>
    <col min="21" max="21" width="12.5703125" style="27" bestFit="1" customWidth="1"/>
    <col min="22" max="22" width="12.28515625" style="27" bestFit="1" customWidth="1"/>
    <col min="23" max="26" width="4" style="27" bestFit="1" customWidth="1"/>
    <col min="27" max="27" width="4.140625" style="27" bestFit="1" customWidth="1"/>
    <col min="28" max="32" width="4" style="27" bestFit="1" customWidth="1"/>
    <col min="33" max="16384" width="9.140625" style="27"/>
  </cols>
  <sheetData>
    <row r="1" spans="1:33" ht="24" customHeight="1">
      <c r="A1" s="403" t="s">
        <v>61</v>
      </c>
      <c r="B1" s="404"/>
      <c r="C1" s="404"/>
      <c r="D1" s="404"/>
      <c r="E1" s="404"/>
      <c r="F1" s="404"/>
      <c r="G1" s="404"/>
      <c r="H1" s="405"/>
      <c r="I1" s="396" t="str">
        <f>+K56</f>
        <v>Effective Copper diameter</v>
      </c>
      <c r="J1" s="397"/>
      <c r="K1" s="91" t="s">
        <v>84</v>
      </c>
      <c r="L1" s="117">
        <v>2.5000000000000001E-3</v>
      </c>
      <c r="M1" s="183"/>
      <c r="N1" s="183"/>
      <c r="O1" s="263" t="str">
        <f>+L29</f>
        <v>Copper</v>
      </c>
      <c r="P1" s="262" t="s">
        <v>222</v>
      </c>
      <c r="Q1" s="182" t="s">
        <v>221</v>
      </c>
      <c r="R1" s="182" t="s">
        <v>220</v>
      </c>
      <c r="S1" s="123"/>
      <c r="T1" s="198"/>
      <c r="U1" s="198"/>
      <c r="V1" s="120"/>
      <c r="W1" s="120"/>
      <c r="X1" s="120"/>
      <c r="Y1" s="120"/>
      <c r="Z1" s="120"/>
      <c r="AA1" s="290" t="s">
        <v>223</v>
      </c>
      <c r="AB1" s="120"/>
      <c r="AC1" s="120"/>
      <c r="AD1" s="120"/>
      <c r="AE1" s="120"/>
      <c r="AF1" s="120"/>
      <c r="AG1" s="120"/>
    </row>
    <row r="2" spans="1:33" ht="13.9" customHeight="1" thickBot="1">
      <c r="A2" s="379" t="s">
        <v>48</v>
      </c>
      <c r="B2" s="299" t="s">
        <v>51</v>
      </c>
      <c r="C2" s="299" t="s">
        <v>49</v>
      </c>
      <c r="D2" s="299" t="s">
        <v>50</v>
      </c>
      <c r="E2" s="37" t="s">
        <v>49</v>
      </c>
      <c r="F2" s="299" t="s">
        <v>52</v>
      </c>
      <c r="G2" s="307"/>
      <c r="H2" s="308"/>
      <c r="I2" s="398" t="s">
        <v>194</v>
      </c>
      <c r="J2" s="399"/>
      <c r="K2" s="91" t="s">
        <v>20</v>
      </c>
      <c r="L2" s="182" t="s">
        <v>217</v>
      </c>
      <c r="M2" s="182" t="s">
        <v>218</v>
      </c>
      <c r="N2" s="117" t="s">
        <v>22</v>
      </c>
      <c r="O2" s="118" t="s">
        <v>197</v>
      </c>
      <c r="P2" s="182" t="s">
        <v>219</v>
      </c>
      <c r="Q2" s="182" t="s">
        <v>130</v>
      </c>
      <c r="R2" s="182"/>
      <c r="S2" s="254"/>
      <c r="T2" s="276" t="s">
        <v>17</v>
      </c>
      <c r="U2" s="277"/>
      <c r="V2" s="277"/>
      <c r="W2" s="284">
        <f>+X2-5</f>
        <v>57.5</v>
      </c>
      <c r="X2" s="284">
        <f>+Y2-5</f>
        <v>62.5</v>
      </c>
      <c r="Y2" s="284">
        <f>+Z2-5</f>
        <v>67.5</v>
      </c>
      <c r="Z2" s="284">
        <f>+AA2-5</f>
        <v>72.5</v>
      </c>
      <c r="AA2" s="285">
        <f>+O3</f>
        <v>77.5</v>
      </c>
      <c r="AB2" s="284">
        <f>+AA2+5</f>
        <v>82.5</v>
      </c>
      <c r="AC2" s="284">
        <f>+AB2+5</f>
        <v>87.5</v>
      </c>
      <c r="AD2" s="284">
        <f>+AC2+5</f>
        <v>92.5</v>
      </c>
      <c r="AE2" s="284">
        <f>+AD2+5</f>
        <v>97.5</v>
      </c>
      <c r="AF2" s="284">
        <f>+AE2+5</f>
        <v>102.5</v>
      </c>
      <c r="AG2" s="120"/>
    </row>
    <row r="3" spans="1:33" ht="15" customHeight="1" thickBot="1">
      <c r="A3" s="379"/>
      <c r="B3" s="325">
        <v>1277.9765573021398</v>
      </c>
      <c r="C3" s="19" t="s">
        <v>27</v>
      </c>
      <c r="D3" s="326">
        <v>622.30568303439838</v>
      </c>
      <c r="E3" s="36"/>
      <c r="F3" s="327">
        <v>3.3E-3</v>
      </c>
      <c r="G3" s="19" t="s">
        <v>28</v>
      </c>
      <c r="H3" s="185"/>
      <c r="I3" s="357" t="s">
        <v>20</v>
      </c>
      <c r="J3" s="129" t="s">
        <v>241</v>
      </c>
      <c r="K3" s="201">
        <f>+F21</f>
        <v>30</v>
      </c>
      <c r="L3" s="261">
        <f>ROUND((L1*(92^((36-K3)/39)))*25.4*2,4)</f>
        <v>0.25459999999999999</v>
      </c>
      <c r="M3" s="202">
        <f>+PI()*POWER(L3/2,2)</f>
        <v>5.0910420013292143E-2</v>
      </c>
      <c r="N3" s="194">
        <f>INT(10/L3)</f>
        <v>39</v>
      </c>
      <c r="O3" s="203">
        <f>+ROUND(D11,2)</f>
        <v>77.5</v>
      </c>
      <c r="P3" s="258">
        <f>+L34</f>
        <v>0.23419999999999999</v>
      </c>
      <c r="Q3" s="368">
        <f>+ROUND((L31/(PI()*Q4^2*L27*L32))/1000,3)</f>
        <v>285.57600000000002</v>
      </c>
      <c r="R3" s="259">
        <f>+L30*1/M3</f>
        <v>0.32959853789497179</v>
      </c>
      <c r="S3" s="254"/>
      <c r="T3" s="278" t="s">
        <v>18</v>
      </c>
      <c r="U3" s="279">
        <f>+Resonance!$B$5</f>
        <v>1.2779765573021399E-3</v>
      </c>
      <c r="V3" s="180" t="s">
        <v>159</v>
      </c>
      <c r="W3" s="286">
        <f t="shared" ref="W3:AF3" si="0">2*PI()*W2*$U$3*1000</f>
        <v>461.71140284624352</v>
      </c>
      <c r="X3" s="286">
        <f t="shared" si="0"/>
        <v>501.86022048504719</v>
      </c>
      <c r="Y3" s="286">
        <f t="shared" si="0"/>
        <v>542.00903812385104</v>
      </c>
      <c r="Z3" s="286">
        <f t="shared" si="0"/>
        <v>582.15785576265478</v>
      </c>
      <c r="AA3" s="288">
        <f t="shared" si="0"/>
        <v>622.30667340145862</v>
      </c>
      <c r="AB3" s="286">
        <f t="shared" si="0"/>
        <v>662.45549104026225</v>
      </c>
      <c r="AC3" s="286">
        <f t="shared" si="0"/>
        <v>702.60430867906609</v>
      </c>
      <c r="AD3" s="286">
        <f t="shared" si="0"/>
        <v>742.75312631786983</v>
      </c>
      <c r="AE3" s="286">
        <f t="shared" si="0"/>
        <v>782.90194395667368</v>
      </c>
      <c r="AF3" s="286">
        <f t="shared" si="0"/>
        <v>823.05076159547741</v>
      </c>
      <c r="AG3" s="120"/>
    </row>
    <row r="4" spans="1:33" ht="13.9" customHeight="1">
      <c r="A4" s="32"/>
      <c r="B4" s="4">
        <f>+B3/1000</f>
        <v>1.2779765573021398</v>
      </c>
      <c r="C4" s="307" t="s">
        <v>5</v>
      </c>
      <c r="D4" s="124">
        <f>1/(2*PI()*F6*D3)</f>
        <v>77500.128873548791</v>
      </c>
      <c r="E4" s="19" t="s">
        <v>3</v>
      </c>
      <c r="F4" s="4">
        <f>+F3*1000</f>
        <v>3.3</v>
      </c>
      <c r="G4" s="307" t="s">
        <v>6</v>
      </c>
      <c r="H4" s="308"/>
      <c r="I4" s="302">
        <v>40</v>
      </c>
      <c r="J4" s="349">
        <v>7.9899999999999999E-2</v>
      </c>
      <c r="K4" s="2"/>
      <c r="L4" s="117">
        <f>+L3*L5</f>
        <v>0.24399816156462581</v>
      </c>
      <c r="M4" s="117"/>
      <c r="N4" s="117"/>
      <c r="O4" s="117"/>
      <c r="P4" s="117"/>
      <c r="Q4" s="292">
        <f>+(L4/2)/1000</f>
        <v>1.2199908078231291E-4</v>
      </c>
      <c r="R4" s="117"/>
      <c r="S4" s="254"/>
      <c r="T4" s="280" t="s">
        <v>19</v>
      </c>
      <c r="U4" s="281">
        <f>+Resonance!$F$6</f>
        <v>3.3000000000000002E-9</v>
      </c>
      <c r="V4" s="180" t="s">
        <v>160</v>
      </c>
      <c r="W4" s="286">
        <f t="shared" ref="W4:AF4" si="1">1/(2*PI()*W2*1000*$U$4)</f>
        <v>838.76122841578558</v>
      </c>
      <c r="X4" s="286">
        <f t="shared" si="1"/>
        <v>771.66033014252287</v>
      </c>
      <c r="Y4" s="286">
        <f t="shared" si="1"/>
        <v>714.50030568752106</v>
      </c>
      <c r="Z4" s="286">
        <f t="shared" si="1"/>
        <v>665.22442253665758</v>
      </c>
      <c r="AA4" s="288">
        <f t="shared" si="1"/>
        <v>622.30671785687332</v>
      </c>
      <c r="AB4" s="286">
        <f t="shared" si="1"/>
        <v>584.59115919888097</v>
      </c>
      <c r="AC4" s="286">
        <f t="shared" si="1"/>
        <v>551.18595010180206</v>
      </c>
      <c r="AD4" s="286">
        <f t="shared" si="1"/>
        <v>521.39211496116411</v>
      </c>
      <c r="AE4" s="286">
        <f t="shared" si="1"/>
        <v>494.65405778366852</v>
      </c>
      <c r="AF4" s="286">
        <f t="shared" si="1"/>
        <v>470.52459155031886</v>
      </c>
      <c r="AG4" s="120"/>
    </row>
    <row r="5" spans="1:33" ht="13.9" customHeight="1">
      <c r="A5" s="3"/>
      <c r="B5" s="5">
        <f>+B3/1000000</f>
        <v>1.2779765573021399E-3</v>
      </c>
      <c r="C5" s="307" t="s">
        <v>0</v>
      </c>
      <c r="D5" s="256">
        <f>+D4/1000</f>
        <v>77.500128873548789</v>
      </c>
      <c r="E5" s="19" t="s">
        <v>4</v>
      </c>
      <c r="F5" s="125">
        <f>+F4*1000</f>
        <v>3300</v>
      </c>
      <c r="G5" s="307" t="s">
        <v>7</v>
      </c>
      <c r="H5" s="308"/>
      <c r="I5" s="338">
        <v>39</v>
      </c>
      <c r="J5" s="350">
        <v>8.9700000000000002E-2</v>
      </c>
      <c r="K5" s="2"/>
      <c r="L5" s="117">
        <v>0.95835884353741485</v>
      </c>
      <c r="M5" s="117"/>
      <c r="N5" s="117"/>
      <c r="O5" s="117"/>
      <c r="P5" s="117"/>
      <c r="Q5" s="182" t="s">
        <v>224</v>
      </c>
      <c r="R5" s="117"/>
      <c r="S5" s="254"/>
      <c r="T5" s="283" t="s">
        <v>232</v>
      </c>
      <c r="U5" s="282"/>
      <c r="V5" s="282"/>
      <c r="W5" s="287">
        <f>+W3</f>
        <v>461.71140284624352</v>
      </c>
      <c r="X5" s="287">
        <f>+X3</f>
        <v>501.86022048504719</v>
      </c>
      <c r="Y5" s="287">
        <f>+Y3</f>
        <v>542.00903812385104</v>
      </c>
      <c r="Z5" s="287">
        <f>+Z3</f>
        <v>582.15785576265478</v>
      </c>
      <c r="AA5" s="289">
        <f>+(AA3+AA4)/2</f>
        <v>622.30669562916592</v>
      </c>
      <c r="AB5" s="287">
        <f>+AB4</f>
        <v>584.59115919888097</v>
      </c>
      <c r="AC5" s="287">
        <f>+AC4</f>
        <v>551.18595010180206</v>
      </c>
      <c r="AD5" s="287">
        <f>+AD4</f>
        <v>521.39211496116411</v>
      </c>
      <c r="AE5" s="287">
        <f>+AE4</f>
        <v>494.65405778366852</v>
      </c>
      <c r="AF5" s="287">
        <f>+AF4</f>
        <v>470.52459155031886</v>
      </c>
      <c r="AG5" s="120"/>
    </row>
    <row r="6" spans="1:33" ht="13.9" customHeight="1">
      <c r="A6" s="3"/>
      <c r="B6" s="307"/>
      <c r="C6" s="307"/>
      <c r="D6" s="126">
        <f>+D5/1000</f>
        <v>7.750012887354879E-2</v>
      </c>
      <c r="E6" s="19" t="s">
        <v>9</v>
      </c>
      <c r="F6" s="6">
        <f>+F3/1000000</f>
        <v>3.3000000000000002E-9</v>
      </c>
      <c r="G6" s="307" t="s">
        <v>1</v>
      </c>
      <c r="H6" s="308"/>
      <c r="I6" s="339">
        <v>38</v>
      </c>
      <c r="J6" s="351">
        <v>0.10100000000000001</v>
      </c>
      <c r="K6" s="223" t="s">
        <v>153</v>
      </c>
      <c r="L6" s="205">
        <f>+O3</f>
        <v>77.5</v>
      </c>
      <c r="M6" s="206" t="s">
        <v>148</v>
      </c>
      <c r="N6" s="246" t="s">
        <v>154</v>
      </c>
      <c r="O6" s="260">
        <f>+P3</f>
        <v>0.23419999999999999</v>
      </c>
      <c r="P6" s="206" t="s">
        <v>155</v>
      </c>
      <c r="Q6" s="255" t="s">
        <v>216</v>
      </c>
      <c r="R6" s="184"/>
      <c r="S6" s="254"/>
      <c r="AG6" s="120"/>
    </row>
    <row r="7" spans="1:33" ht="13.9" customHeight="1">
      <c r="A7" s="379" t="s">
        <v>150</v>
      </c>
      <c r="B7" s="163">
        <f>2*PI()*D10*B5</f>
        <v>622.30669562916546</v>
      </c>
      <c r="C7" s="307" t="s">
        <v>2</v>
      </c>
      <c r="D7" s="303"/>
      <c r="E7" s="295" t="s">
        <v>151</v>
      </c>
      <c r="F7" s="163">
        <f>1/(2*PI()*D10*F6)</f>
        <v>622.30669562916546</v>
      </c>
      <c r="G7" s="307" t="s">
        <v>2</v>
      </c>
      <c r="H7" s="308"/>
      <c r="I7" s="339">
        <v>37</v>
      </c>
      <c r="J7" s="351">
        <v>0.113</v>
      </c>
      <c r="K7" s="208" t="str">
        <f>CONCATENATE(K6,L6,M6,N6,O6,P6,Q6,L29)</f>
        <v>A frequency of 77,5 kHz has a skin depth of 0,2342 mm in Copper</v>
      </c>
      <c r="L7" s="208"/>
      <c r="M7" s="208"/>
      <c r="N7" s="209"/>
      <c r="O7" s="209"/>
      <c r="P7" s="209"/>
      <c r="Q7" s="210"/>
      <c r="R7" s="184"/>
      <c r="S7" s="254"/>
      <c r="T7" s="192"/>
      <c r="U7" s="117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13.9" customHeight="1">
      <c r="A8" s="379"/>
      <c r="B8" s="166">
        <f>+B7/1000</f>
        <v>0.62230669562916541</v>
      </c>
      <c r="C8" s="7" t="s">
        <v>8</v>
      </c>
      <c r="D8" s="307"/>
      <c r="E8" s="295"/>
      <c r="F8" s="166">
        <f>+F7/1000</f>
        <v>0.62230669562916541</v>
      </c>
      <c r="G8" s="307" t="s">
        <v>8</v>
      </c>
      <c r="H8" s="308"/>
      <c r="I8" s="339">
        <v>36</v>
      </c>
      <c r="J8" s="351">
        <v>0.127</v>
      </c>
      <c r="K8" s="2"/>
      <c r="L8" s="184"/>
      <c r="M8" s="197"/>
      <c r="N8" s="184"/>
      <c r="O8" s="184"/>
      <c r="P8" s="184"/>
      <c r="Q8" s="184"/>
      <c r="R8" s="184"/>
      <c r="S8" s="254"/>
      <c r="T8" s="192"/>
      <c r="U8" s="117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 ht="13.9" customHeight="1">
      <c r="A9" s="401" t="s">
        <v>47</v>
      </c>
      <c r="B9" s="402"/>
      <c r="C9" s="402"/>
      <c r="D9" s="402"/>
      <c r="E9" s="402"/>
      <c r="F9" s="402"/>
      <c r="G9" s="402"/>
      <c r="H9" s="294"/>
      <c r="I9" s="339">
        <v>35</v>
      </c>
      <c r="J9" s="351">
        <v>0.14299999999999999</v>
      </c>
      <c r="K9" s="341" t="s">
        <v>178</v>
      </c>
      <c r="L9" s="211"/>
      <c r="M9" s="211"/>
      <c r="N9" s="204"/>
      <c r="O9" s="204"/>
      <c r="P9" s="212">
        <f>2*O6</f>
        <v>0.46839999999999998</v>
      </c>
      <c r="Q9" s="207" t="s">
        <v>155</v>
      </c>
      <c r="R9" s="184"/>
      <c r="S9" s="254"/>
      <c r="T9" s="192"/>
      <c r="U9" s="117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13.9" customHeight="1">
      <c r="A10" s="393" t="s">
        <v>152</v>
      </c>
      <c r="B10" s="34"/>
      <c r="C10" s="307"/>
      <c r="D10" s="167">
        <f>+D11*1000</f>
        <v>77500.002768164573</v>
      </c>
      <c r="E10" s="19" t="s">
        <v>3</v>
      </c>
      <c r="F10" s="388" t="str">
        <f>+K7</f>
        <v>A frequency of 77,5 kHz has a skin depth of 0,2342 mm in Copper</v>
      </c>
      <c r="G10" s="388"/>
      <c r="H10" s="389"/>
      <c r="I10" s="339">
        <v>34</v>
      </c>
      <c r="J10" s="351">
        <v>0.16</v>
      </c>
      <c r="K10" s="213" t="str">
        <f>CONCATENATE(K9,P9,Q9)</f>
        <v>Max effective wire diameter 0,4684 mm</v>
      </c>
      <c r="L10" s="213"/>
      <c r="M10" s="213"/>
      <c r="N10" s="213"/>
      <c r="O10" s="213"/>
      <c r="P10" s="209"/>
      <c r="Q10" s="210"/>
      <c r="R10" s="184"/>
      <c r="S10" s="254"/>
      <c r="T10" s="192"/>
      <c r="U10" s="117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 ht="13.9" customHeight="1">
      <c r="A11" s="393"/>
      <c r="B11" s="34"/>
      <c r="C11" s="307"/>
      <c r="D11" s="164">
        <f>+(1/(2*PI()*SQRT(B5*F6)))/1000</f>
        <v>77.500002768164578</v>
      </c>
      <c r="E11" s="19" t="s">
        <v>4</v>
      </c>
      <c r="F11" s="390" t="str">
        <f>+K10</f>
        <v>Max effective wire diameter 0,4684 mm</v>
      </c>
      <c r="G11" s="390"/>
      <c r="H11" s="391"/>
      <c r="I11" s="339">
        <v>33</v>
      </c>
      <c r="J11" s="351">
        <v>0.18</v>
      </c>
      <c r="P11" s="184"/>
      <c r="Q11" s="184"/>
      <c r="R11" s="184"/>
      <c r="S11" s="254"/>
      <c r="T11" s="192"/>
      <c r="U11" s="117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 ht="13.9" customHeight="1">
      <c r="A12" s="393"/>
      <c r="B12" s="34"/>
      <c r="C12" s="307"/>
      <c r="D12" s="168">
        <f>+D11/1000</f>
        <v>7.7500002768164572E-2</v>
      </c>
      <c r="E12" s="19" t="s">
        <v>9</v>
      </c>
      <c r="F12" s="307"/>
      <c r="G12" s="307"/>
      <c r="H12" s="308"/>
      <c r="I12" s="339">
        <v>32</v>
      </c>
      <c r="J12" s="351">
        <v>0.20200000000000001</v>
      </c>
      <c r="K12" s="342" t="s">
        <v>161</v>
      </c>
      <c r="L12" s="211"/>
      <c r="M12" s="211"/>
      <c r="N12" s="211"/>
      <c r="O12" s="369">
        <f>+IF(Q3&lt;=1,Q3*1000,Q3)</f>
        <v>285.57600000000002</v>
      </c>
      <c r="P12" s="214"/>
      <c r="Q12" s="370" t="str">
        <f>+IF(Q3&lt;=1," Hz"," kHz")</f>
        <v xml:space="preserve"> kHz</v>
      </c>
      <c r="R12" s="184"/>
      <c r="S12" s="254"/>
      <c r="T12" s="192"/>
      <c r="U12" s="117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3.9" customHeight="1">
      <c r="A13" s="127"/>
      <c r="B13" s="394" t="s">
        <v>175</v>
      </c>
      <c r="C13" s="394"/>
      <c r="D13" s="297" t="s">
        <v>174</v>
      </c>
      <c r="E13" s="128"/>
      <c r="F13" s="394" t="s">
        <v>176</v>
      </c>
      <c r="G13" s="394"/>
      <c r="H13" s="298"/>
      <c r="I13" s="339">
        <v>31</v>
      </c>
      <c r="J13" s="351">
        <v>0.22700000000000001</v>
      </c>
      <c r="K13" s="213" t="str">
        <f>CONCATENATE(K12,O12,Q12)</f>
        <v>Maksimal frequency 285,576 kHz</v>
      </c>
      <c r="L13" s="213"/>
      <c r="M13" s="213"/>
      <c r="N13" s="213"/>
      <c r="O13" s="213"/>
      <c r="P13" s="209"/>
      <c r="Q13" s="217"/>
      <c r="R13" s="184"/>
      <c r="S13" s="2"/>
      <c r="T13" s="192"/>
      <c r="U13" s="117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 ht="13.9" customHeight="1">
      <c r="A14" s="3"/>
      <c r="B14" s="303" t="s">
        <v>247</v>
      </c>
      <c r="C14" s="303" t="s">
        <v>248</v>
      </c>
      <c r="D14" s="42"/>
      <c r="E14" s="19"/>
      <c r="F14" s="303" t="s">
        <v>247</v>
      </c>
      <c r="G14" s="303" t="s">
        <v>248</v>
      </c>
      <c r="H14" s="129"/>
      <c r="I14" s="339">
        <v>30</v>
      </c>
      <c r="J14" s="351">
        <v>0.255</v>
      </c>
      <c r="R14" s="184"/>
      <c r="T14" s="192"/>
      <c r="U14" s="117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 ht="13.9" customHeight="1">
      <c r="A15" s="362" t="s">
        <v>249</v>
      </c>
      <c r="B15" s="130"/>
      <c r="C15" s="130"/>
      <c r="D15" s="169">
        <f>+(B5/D3)*1000000</f>
        <v>2.0536154371444151</v>
      </c>
      <c r="E15" s="33" t="s">
        <v>26</v>
      </c>
      <c r="F15" s="130"/>
      <c r="G15" s="329"/>
      <c r="H15" s="186"/>
      <c r="I15" s="340">
        <v>29</v>
      </c>
      <c r="J15" s="351">
        <v>0.28599999999999998</v>
      </c>
      <c r="K15" s="342" t="s">
        <v>196</v>
      </c>
      <c r="L15" s="211"/>
      <c r="M15" s="211"/>
      <c r="N15" s="211"/>
      <c r="O15" s="291">
        <f>+ROUND(Q4*1000,3)</f>
        <v>0.122</v>
      </c>
      <c r="P15" s="204"/>
      <c r="Q15" s="215" t="s">
        <v>155</v>
      </c>
      <c r="R15" s="182"/>
      <c r="S15" s="198"/>
      <c r="T15" s="192"/>
      <c r="U15" s="117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33" ht="13.9" customHeight="1">
      <c r="A16" s="300" t="s">
        <v>250</v>
      </c>
      <c r="B16" s="130"/>
      <c r="C16" s="130"/>
      <c r="D16" s="169">
        <f>+F6*D3*1000000</f>
        <v>2.0536087540135148</v>
      </c>
      <c r="E16" s="33" t="s">
        <v>26</v>
      </c>
      <c r="F16" s="130"/>
      <c r="G16" s="360"/>
      <c r="H16" s="186"/>
      <c r="I16" s="340">
        <v>28</v>
      </c>
      <c r="J16" s="351">
        <v>0.32100000000000001</v>
      </c>
      <c r="K16" s="343" t="str">
        <f>CONCATENATE(K15,O15,Q15)</f>
        <v>Skin depth at 63% 0,122 mm</v>
      </c>
      <c r="L16" s="213"/>
      <c r="M16" s="213"/>
      <c r="N16" s="213"/>
      <c r="O16" s="213"/>
      <c r="P16" s="216"/>
      <c r="Q16" s="217"/>
      <c r="R16" s="182"/>
      <c r="T16" s="192"/>
      <c r="U16" s="117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</row>
    <row r="17" spans="1:33" ht="13.9" customHeight="1" thickBot="1">
      <c r="A17" s="14"/>
      <c r="B17" s="10"/>
      <c r="C17" s="10"/>
      <c r="D17" s="10"/>
      <c r="E17" s="10"/>
      <c r="F17" s="10"/>
      <c r="G17" s="10"/>
      <c r="H17" s="15"/>
      <c r="I17" s="340">
        <v>27</v>
      </c>
      <c r="J17" s="351">
        <v>0.36099999999999999</v>
      </c>
      <c r="P17" s="182"/>
      <c r="Q17" s="182"/>
      <c r="R17" s="182"/>
      <c r="T17" s="192"/>
      <c r="U17" s="117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</row>
    <row r="18" spans="1:33" ht="12" customHeight="1">
      <c r="A18" s="403" t="str">
        <f>+K47</f>
        <v>Calculation of Inductance of an air Coil one layer with Copper wire</v>
      </c>
      <c r="B18" s="404"/>
      <c r="C18" s="404"/>
      <c r="D18" s="404"/>
      <c r="E18" s="404"/>
      <c r="F18" s="404"/>
      <c r="G18" s="404"/>
      <c r="H18" s="405"/>
      <c r="I18" s="340">
        <v>26</v>
      </c>
      <c r="J18" s="351">
        <v>0.40500000000000003</v>
      </c>
      <c r="K18" s="344" t="s">
        <v>235</v>
      </c>
      <c r="L18" s="214"/>
      <c r="M18" s="214"/>
      <c r="N18" s="214"/>
      <c r="O18" s="218">
        <f>+O3</f>
        <v>77.5</v>
      </c>
      <c r="P18" s="214"/>
      <c r="Q18" s="215" t="s">
        <v>148</v>
      </c>
      <c r="R18" s="182"/>
      <c r="T18" s="192"/>
      <c r="U18" s="117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</row>
    <row r="19" spans="1:33" ht="12" customHeight="1">
      <c r="A19" s="379"/>
      <c r="B19" s="406"/>
      <c r="C19" s="406"/>
      <c r="D19" s="406"/>
      <c r="E19" s="406"/>
      <c r="F19" s="406"/>
      <c r="G19" s="406"/>
      <c r="H19" s="407"/>
      <c r="I19" s="340">
        <v>25</v>
      </c>
      <c r="J19" s="351">
        <v>0.45500000000000002</v>
      </c>
      <c r="K19" s="345" t="str">
        <f>CONCATENATE(K18,O18,Q18)</f>
        <v>at Resonance Frequency 77,5 kHz</v>
      </c>
      <c r="L19" s="213"/>
      <c r="M19" s="213"/>
      <c r="N19" s="213"/>
      <c r="O19" s="213"/>
      <c r="P19" s="213"/>
      <c r="Q19" s="217"/>
      <c r="R19" s="182"/>
      <c r="T19" s="192"/>
      <c r="U19" s="117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</row>
    <row r="20" spans="1:33" ht="13.9" customHeight="1">
      <c r="A20" s="293" t="s">
        <v>53</v>
      </c>
      <c r="B20" s="18" t="s">
        <v>12</v>
      </c>
      <c r="C20" s="299" t="s">
        <v>55</v>
      </c>
      <c r="D20" s="304" t="s">
        <v>16</v>
      </c>
      <c r="E20" s="303" t="s">
        <v>134</v>
      </c>
      <c r="F20" s="305" t="s">
        <v>239</v>
      </c>
      <c r="G20" s="305" t="s">
        <v>240</v>
      </c>
      <c r="H20" s="308"/>
      <c r="I20" s="340">
        <v>24</v>
      </c>
      <c r="J20" s="351">
        <v>0.51100000000000001</v>
      </c>
      <c r="Q20" s="182"/>
      <c r="R20" s="182"/>
      <c r="T20" s="192"/>
      <c r="U20" s="117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</row>
    <row r="21" spans="1:33" ht="15" customHeight="1">
      <c r="A21" s="293" t="s">
        <v>54</v>
      </c>
      <c r="B21" s="324">
        <v>114</v>
      </c>
      <c r="C21" s="324">
        <v>12.6</v>
      </c>
      <c r="D21" s="324">
        <v>0.03</v>
      </c>
      <c r="E21" s="337">
        <f>+L3</f>
        <v>0.25459999999999999</v>
      </c>
      <c r="F21" s="335">
        <v>30</v>
      </c>
      <c r="G21" s="335" t="s">
        <v>112</v>
      </c>
      <c r="H21" s="308"/>
      <c r="I21" s="340">
        <v>23</v>
      </c>
      <c r="J21" s="351">
        <v>0.57299999999999995</v>
      </c>
      <c r="K21" s="346" t="s">
        <v>182</v>
      </c>
      <c r="L21" s="211"/>
      <c r="M21" s="211"/>
      <c r="N21" s="211"/>
      <c r="O21" s="220">
        <f>+O3</f>
        <v>77.5</v>
      </c>
      <c r="P21" s="211"/>
      <c r="Q21" s="215" t="s">
        <v>148</v>
      </c>
      <c r="R21" s="182"/>
      <c r="T21" s="192"/>
      <c r="U21" s="117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</row>
    <row r="22" spans="1:33" ht="13.9" customHeight="1">
      <c r="A22" s="379" t="s">
        <v>135</v>
      </c>
      <c r="B22" s="35"/>
      <c r="C22" s="131">
        <f>+C23/1000</f>
        <v>5.5354652109311332E-5</v>
      </c>
      <c r="D22" s="18" t="s">
        <v>13</v>
      </c>
      <c r="E22" s="304"/>
      <c r="F22" s="400" t="s">
        <v>242</v>
      </c>
      <c r="G22" s="400"/>
      <c r="H22" s="308"/>
      <c r="I22" s="340">
        <v>22</v>
      </c>
      <c r="J22" s="351">
        <v>0.64400000000000002</v>
      </c>
      <c r="K22" s="222" t="str">
        <f>CONCATENATE($K$21,$O$21,$Q$21)</f>
        <v>δ = Skin depth at 77,5 kHz</v>
      </c>
      <c r="L22" s="222"/>
      <c r="M22" s="222"/>
      <c r="N22" s="213"/>
      <c r="O22" s="213"/>
      <c r="P22" s="213"/>
      <c r="Q22" s="217"/>
      <c r="R22" s="182"/>
      <c r="T22" s="192"/>
      <c r="U22" s="117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</row>
    <row r="23" spans="1:33" ht="13.9" customHeight="1">
      <c r="A23" s="379"/>
      <c r="B23" s="35"/>
      <c r="C23" s="132">
        <f>+C24/1000</f>
        <v>5.5354652109311335E-2</v>
      </c>
      <c r="D23" s="18" t="s">
        <v>5</v>
      </c>
      <c r="E23" s="304"/>
      <c r="F23" s="307"/>
      <c r="G23" s="307"/>
      <c r="H23" s="308"/>
      <c r="I23" s="340">
        <v>21</v>
      </c>
      <c r="J23" s="351">
        <v>0.72299999999999998</v>
      </c>
      <c r="Q23" s="182"/>
      <c r="R23" s="182"/>
      <c r="T23" s="192"/>
      <c r="U23" s="117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</row>
    <row r="24" spans="1:33" ht="13.9" customHeight="1">
      <c r="A24" s="379"/>
      <c r="B24" s="35"/>
      <c r="C24" s="165">
        <f>+(B21^2*C31^2)/(C32*C31+C34*C33)</f>
        <v>55.354652109311338</v>
      </c>
      <c r="D24" s="299" t="s">
        <v>29</v>
      </c>
      <c r="E24" s="71" t="s">
        <v>131</v>
      </c>
      <c r="F24" s="315"/>
      <c r="G24" s="315"/>
      <c r="H24" s="187"/>
      <c r="I24" s="340">
        <v>20</v>
      </c>
      <c r="J24" s="351">
        <v>0.81200000000000006</v>
      </c>
      <c r="K24" s="223" t="s">
        <v>198</v>
      </c>
      <c r="L24" s="223"/>
      <c r="M24" s="211"/>
      <c r="N24" s="211"/>
      <c r="O24" s="211" t="str">
        <f>+G21</f>
        <v>Copper</v>
      </c>
      <c r="P24" s="224" t="s">
        <v>199</v>
      </c>
      <c r="Q24" s="215"/>
      <c r="R24" s="182"/>
      <c r="T24" s="192"/>
      <c r="U24" s="117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</row>
    <row r="25" spans="1:33" ht="13.9" customHeight="1">
      <c r="A25" s="379"/>
      <c r="B25" s="35"/>
      <c r="C25" s="133">
        <f>+C24*1000</f>
        <v>55354.652109311341</v>
      </c>
      <c r="D25" s="18" t="s">
        <v>11</v>
      </c>
      <c r="E25" s="88" t="str">
        <f>+K13</f>
        <v>Maksimal frequency 285,576 kHz</v>
      </c>
      <c r="F25" s="301"/>
      <c r="G25" s="333" t="str">
        <f>IF(D11&lt;=Q3,"Wire OK","Find another wire")</f>
        <v>Wire OK</v>
      </c>
      <c r="H25" s="188"/>
      <c r="I25" s="340">
        <v>19</v>
      </c>
      <c r="J25" s="351">
        <v>0.91200000000000003</v>
      </c>
      <c r="K25" s="345" t="str">
        <f>CONCATENATE(K24,O24,P24)</f>
        <v>DC Resistance of Copper wire</v>
      </c>
      <c r="L25" s="213"/>
      <c r="M25" s="213"/>
      <c r="N25" s="213"/>
      <c r="O25" s="213"/>
      <c r="P25" s="213"/>
      <c r="Q25" s="217"/>
      <c r="R25" s="182"/>
      <c r="T25" s="192"/>
      <c r="U25" s="117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</row>
    <row r="26" spans="1:33" ht="13.9" customHeight="1">
      <c r="A26" s="379"/>
      <c r="B26" s="35"/>
      <c r="C26" s="134">
        <f>+C25*1000</f>
        <v>55354652.109311342</v>
      </c>
      <c r="D26" s="18" t="s">
        <v>14</v>
      </c>
      <c r="E26" s="66" t="str">
        <f>+K16</f>
        <v>Skin depth at 63% 0,122 mm</v>
      </c>
      <c r="F26" s="306"/>
      <c r="G26" s="333" t="str">
        <f>IF(D11&lt;=Q3,"Wire OK","Litze wire perhaps?")</f>
        <v>Wire OK</v>
      </c>
      <c r="H26" s="188"/>
      <c r="I26" s="340">
        <v>18</v>
      </c>
      <c r="J26" s="351">
        <v>1.024</v>
      </c>
      <c r="Q26" s="182"/>
      <c r="R26" s="182"/>
      <c r="T26" s="192"/>
      <c r="U26" s="117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</row>
    <row r="27" spans="1:33" ht="13.9" customHeight="1">
      <c r="A27" s="247"/>
      <c r="B27" s="307"/>
      <c r="C27" s="307"/>
      <c r="D27" s="307"/>
      <c r="E27" s="307"/>
      <c r="F27" s="307"/>
      <c r="G27" s="315"/>
      <c r="H27" s="187"/>
      <c r="I27" s="340">
        <v>17</v>
      </c>
      <c r="J27" s="351">
        <v>1.1499999999999999</v>
      </c>
      <c r="K27" s="225" t="s">
        <v>30</v>
      </c>
      <c r="L27" s="226">
        <f>4*PI()*10^-7</f>
        <v>1.2566370614359173E-6</v>
      </c>
      <c r="M27" s="85" t="s">
        <v>254</v>
      </c>
      <c r="N27" s="182"/>
      <c r="O27" s="182"/>
      <c r="P27" s="182"/>
      <c r="Q27" s="182"/>
      <c r="R27" s="182"/>
      <c r="T27" s="192"/>
      <c r="U27" s="117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</row>
    <row r="28" spans="1:33" ht="13.9" customHeight="1">
      <c r="A28" s="300" t="s">
        <v>212</v>
      </c>
      <c r="B28" s="307"/>
      <c r="C28" s="248">
        <f>+'Skin Effekt R'!E16</f>
        <v>410.1152381077755</v>
      </c>
      <c r="D28" s="307"/>
      <c r="E28" s="245">
        <f>2*PI()*C31*B21/1000</f>
        <v>4.6037665294312298</v>
      </c>
      <c r="F28" s="71" t="s">
        <v>133</v>
      </c>
      <c r="G28" s="315" t="str">
        <f>+K68</f>
        <v>Resistance of Copper wire 1,52 Ω</v>
      </c>
      <c r="H28" s="187"/>
      <c r="I28" s="339">
        <v>16</v>
      </c>
      <c r="J28" s="351">
        <v>1.2909999999999999</v>
      </c>
      <c r="K28" s="2"/>
      <c r="L28" s="184"/>
      <c r="M28" s="184"/>
      <c r="N28" s="184"/>
      <c r="O28" s="184"/>
      <c r="P28" s="184"/>
      <c r="Q28" s="184"/>
      <c r="R28" s="182" t="s">
        <v>256</v>
      </c>
      <c r="T28" s="192"/>
      <c r="U28" s="117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</row>
    <row r="29" spans="1:33" ht="13.9" customHeight="1">
      <c r="A29" s="3"/>
      <c r="B29" s="307"/>
      <c r="C29" s="307"/>
      <c r="D29" s="307"/>
      <c r="E29" s="307"/>
      <c r="F29" s="307"/>
      <c r="G29" s="315"/>
      <c r="H29" s="187"/>
      <c r="I29" s="339">
        <v>15</v>
      </c>
      <c r="J29" s="352">
        <v>1.452</v>
      </c>
      <c r="K29" s="347" t="str">
        <f>+M29</f>
        <v>Material</v>
      </c>
      <c r="L29" s="233" t="str">
        <f>+G21</f>
        <v>Copper</v>
      </c>
      <c r="M29" s="227" t="s">
        <v>187</v>
      </c>
      <c r="N29" s="214" t="s">
        <v>173</v>
      </c>
      <c r="O29" s="214" t="s">
        <v>195</v>
      </c>
      <c r="P29" s="214" t="s">
        <v>255</v>
      </c>
      <c r="Q29" s="214" t="s">
        <v>200</v>
      </c>
      <c r="R29" s="215" t="str">
        <f>CONCATENATE(R28,L29)</f>
        <v xml:space="preserve"> Skin depth mm Copper</v>
      </c>
      <c r="S29" s="121"/>
      <c r="T29" s="192"/>
      <c r="U29" s="117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</row>
    <row r="30" spans="1:33" ht="13.9" customHeight="1">
      <c r="A30" s="29" t="s">
        <v>56</v>
      </c>
      <c r="B30" s="307"/>
      <c r="C30" s="304">
        <f>+B21</f>
        <v>114</v>
      </c>
      <c r="D30" s="316"/>
      <c r="E30" s="71"/>
      <c r="F30" s="315"/>
      <c r="G30" s="315"/>
      <c r="H30" s="187"/>
      <c r="I30" s="338">
        <v>14</v>
      </c>
      <c r="J30" s="351">
        <v>1.6279999999999999</v>
      </c>
      <c r="K30" s="193" t="str">
        <f>+N29</f>
        <v>Ohm*mm²/m</v>
      </c>
      <c r="L30" s="234">
        <f>VLOOKUP($L$29,$M$30:$S$36,2)</f>
        <v>1.678E-2</v>
      </c>
      <c r="M30" s="228" t="s">
        <v>143</v>
      </c>
      <c r="N30" s="194">
        <v>2.648E-2</v>
      </c>
      <c r="O30" s="199">
        <v>2.6548000000000001E-8</v>
      </c>
      <c r="P30" s="195">
        <v>1.0000199999999999</v>
      </c>
      <c r="Q30" s="85" t="s">
        <v>201</v>
      </c>
      <c r="R30" s="237">
        <f>ROUND(SQRT(($L$31)/(PI()*$O$3*1000*$L$27*$L$32))*1000,4)</f>
        <v>0.23419999999999999</v>
      </c>
      <c r="S30" s="122"/>
      <c r="T30" s="192"/>
      <c r="U30" s="117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</row>
    <row r="31" spans="1:33" ht="13.9" customHeight="1">
      <c r="A31" s="29" t="s">
        <v>57</v>
      </c>
      <c r="B31" s="307"/>
      <c r="C31" s="9">
        <f>+(C21+E21)/2</f>
        <v>6.4272999999999998</v>
      </c>
      <c r="D31" s="7" t="s">
        <v>10</v>
      </c>
      <c r="E31" s="71" t="s">
        <v>231</v>
      </c>
      <c r="F31" s="315"/>
      <c r="G31" s="303"/>
      <c r="H31" s="129"/>
      <c r="I31" s="338">
        <v>13</v>
      </c>
      <c r="J31" s="351">
        <v>1.8280000000000001</v>
      </c>
      <c r="K31" s="193" t="str">
        <f>+O29</f>
        <v>ρ [Ω.m]</v>
      </c>
      <c r="L31" s="234">
        <f>VLOOKUP($L$29,$M$30:$S$36,3)</f>
        <v>1.6779999999999999E-8</v>
      </c>
      <c r="M31" s="228" t="s">
        <v>112</v>
      </c>
      <c r="N31" s="194">
        <v>1.678E-2</v>
      </c>
      <c r="O31" s="200">
        <v>1.6779999999999999E-8</v>
      </c>
      <c r="P31" s="195">
        <v>0.99999400000000005</v>
      </c>
      <c r="Q31" s="118" t="s">
        <v>202</v>
      </c>
      <c r="R31" s="237">
        <f t="shared" ref="R31:R36" si="2">ROUND(SQRT(($L$31)/(PI()*$O$3*1000*$L$27*$L$32))*1000,4)</f>
        <v>0.23419999999999999</v>
      </c>
      <c r="S31" s="238"/>
      <c r="T31" s="192"/>
      <c r="U31" s="117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</row>
    <row r="32" spans="1:33" ht="13.9" customHeight="1">
      <c r="A32" s="29" t="s">
        <v>58</v>
      </c>
      <c r="B32" s="307"/>
      <c r="C32" s="304">
        <v>228</v>
      </c>
      <c r="D32" s="307"/>
      <c r="E32" s="71" t="str">
        <f>+K59</f>
        <v>Enamelled Copper  wire min 0,03 mm</v>
      </c>
      <c r="F32" s="315"/>
      <c r="G32" s="334"/>
      <c r="H32" s="249"/>
      <c r="I32" s="338">
        <v>12</v>
      </c>
      <c r="J32" s="351">
        <v>2.0529999999999999</v>
      </c>
      <c r="K32" s="193" t="str">
        <f>+P29</f>
        <v>µr [Permeability]</v>
      </c>
      <c r="L32" s="234">
        <f>VLOOKUP($L$29,$M$30:$S$36,4)</f>
        <v>0.99999400000000005</v>
      </c>
      <c r="M32" s="228" t="s">
        <v>185</v>
      </c>
      <c r="N32" s="194">
        <v>2.24E-2</v>
      </c>
      <c r="O32" s="200">
        <v>2.2399999999999999E-8</v>
      </c>
      <c r="P32" s="195">
        <v>0.99949299999999996</v>
      </c>
      <c r="Q32" s="85" t="s">
        <v>203</v>
      </c>
      <c r="R32" s="237">
        <f t="shared" si="2"/>
        <v>0.23419999999999999</v>
      </c>
      <c r="S32" s="122"/>
      <c r="T32" s="192"/>
      <c r="U32" s="117"/>
    </row>
    <row r="33" spans="1:21" ht="13.9" customHeight="1">
      <c r="A33" s="29" t="s">
        <v>59</v>
      </c>
      <c r="B33" s="307"/>
      <c r="C33" s="9">
        <f>+(B21*E21)+((B21-1)*D21)</f>
        <v>32.414400000000001</v>
      </c>
      <c r="D33" s="7" t="s">
        <v>10</v>
      </c>
      <c r="E33" s="71" t="str">
        <f>+K62</f>
        <v>Non enamelled Copper wire min 0,1 mm</v>
      </c>
      <c r="F33" s="315"/>
      <c r="G33" s="330" t="s">
        <v>15</v>
      </c>
      <c r="H33" s="189"/>
      <c r="I33" s="338">
        <v>11</v>
      </c>
      <c r="J33" s="351">
        <v>2.3050000000000002</v>
      </c>
      <c r="K33" s="193" t="str">
        <f>+Q29</f>
        <v>Materials</v>
      </c>
      <c r="L33" s="234" t="str">
        <f>VLOOKUP($L$29,$M$30:$S$36,5)</f>
        <v xml:space="preserve"> for copper </v>
      </c>
      <c r="M33" s="228" t="s">
        <v>162</v>
      </c>
      <c r="N33" s="194">
        <v>0.22</v>
      </c>
      <c r="O33" s="200">
        <v>2.2000000000000001E-7</v>
      </c>
      <c r="P33" s="2">
        <v>0.99998299999999996</v>
      </c>
      <c r="Q33" s="85" t="s">
        <v>204</v>
      </c>
      <c r="R33" s="237">
        <f t="shared" si="2"/>
        <v>0.23419999999999999</v>
      </c>
      <c r="S33" s="122"/>
      <c r="T33" s="192"/>
      <c r="U33" s="117"/>
    </row>
    <row r="34" spans="1:21" ht="13.9" customHeight="1">
      <c r="A34" s="29" t="s">
        <v>60</v>
      </c>
      <c r="B34" s="307"/>
      <c r="C34" s="304">
        <v>254</v>
      </c>
      <c r="D34" s="307"/>
      <c r="E34" s="307"/>
      <c r="F34" s="331"/>
      <c r="G34" s="128"/>
      <c r="H34" s="328"/>
      <c r="I34" s="338">
        <v>10</v>
      </c>
      <c r="J34" s="351">
        <v>2.5880000000000001</v>
      </c>
      <c r="K34" s="193" t="str">
        <f>+R29</f>
        <v xml:space="preserve"> Skin depth mm Copper</v>
      </c>
      <c r="L34" s="236">
        <f>VLOOKUP($L$29,$M$30:$S$36,6)</f>
        <v>0.23419999999999999</v>
      </c>
      <c r="M34" s="229" t="s">
        <v>183</v>
      </c>
      <c r="N34" s="194">
        <v>6.9900000000000004E-2</v>
      </c>
      <c r="O34" s="200">
        <v>6.8400000000000004E-8</v>
      </c>
      <c r="P34" s="196">
        <v>600</v>
      </c>
      <c r="Q34" s="85" t="s">
        <v>205</v>
      </c>
      <c r="R34" s="237">
        <f t="shared" si="2"/>
        <v>0.23419999999999999</v>
      </c>
      <c r="S34" s="122"/>
      <c r="T34" s="192"/>
      <c r="U34" s="117"/>
    </row>
    <row r="35" spans="1:21" ht="13.9" customHeight="1">
      <c r="A35" s="140" t="s">
        <v>177</v>
      </c>
      <c r="B35" s="157"/>
      <c r="C35" s="307"/>
      <c r="D35" s="335">
        <v>30</v>
      </c>
      <c r="E35" s="304" t="s">
        <v>24</v>
      </c>
      <c r="F35" s="332">
        <f>+Resonance!Q39*POWER(Resonance!Q40,Resonance!Q43)</f>
        <v>0.25463900297665848</v>
      </c>
      <c r="G35" s="39" t="s">
        <v>10</v>
      </c>
      <c r="H35" s="308"/>
      <c r="I35" s="338">
        <v>9</v>
      </c>
      <c r="J35" s="351">
        <v>2.91</v>
      </c>
      <c r="K35" s="193"/>
      <c r="L35" s="234"/>
      <c r="M35" s="228" t="s">
        <v>144</v>
      </c>
      <c r="N35" s="194">
        <v>0.105</v>
      </c>
      <c r="O35" s="200">
        <v>1.05E-7</v>
      </c>
      <c r="P35" s="2">
        <v>1.000265</v>
      </c>
      <c r="Q35" s="85" t="s">
        <v>206</v>
      </c>
      <c r="R35" s="237">
        <f t="shared" si="2"/>
        <v>0.23419999999999999</v>
      </c>
      <c r="S35" s="122"/>
      <c r="T35" s="2"/>
      <c r="U35" s="2"/>
    </row>
    <row r="36" spans="1:21" ht="13.9" customHeight="1">
      <c r="A36" s="87" t="s">
        <v>80</v>
      </c>
      <c r="B36" s="28"/>
      <c r="C36" s="307"/>
      <c r="D36" s="354">
        <v>0.255</v>
      </c>
      <c r="E36" s="304" t="s">
        <v>25</v>
      </c>
      <c r="F36" s="135">
        <f>-Resonance!Q42*Resonance!Q45+Resonance!Q41</f>
        <v>29.987781289182838</v>
      </c>
      <c r="G36" s="39" t="s">
        <v>20</v>
      </c>
      <c r="H36" s="317"/>
      <c r="I36" s="338">
        <v>8</v>
      </c>
      <c r="J36" s="351">
        <v>3.26</v>
      </c>
      <c r="K36" s="348"/>
      <c r="L36" s="235"/>
      <c r="M36" s="221" t="s">
        <v>186</v>
      </c>
      <c r="N36" s="230">
        <v>1.5859999999999999E-2</v>
      </c>
      <c r="O36" s="231">
        <v>1.5860000000000001E-8</v>
      </c>
      <c r="P36" s="232">
        <v>0.99997999999999998</v>
      </c>
      <c r="Q36" s="222" t="s">
        <v>207</v>
      </c>
      <c r="R36" s="257">
        <f t="shared" si="2"/>
        <v>0.23419999999999999</v>
      </c>
      <c r="S36" s="122"/>
      <c r="T36" s="2"/>
      <c r="U36" s="2"/>
    </row>
    <row r="37" spans="1:21" ht="13.9" customHeight="1">
      <c r="A37" s="87" t="s">
        <v>81</v>
      </c>
      <c r="B37" s="28"/>
      <c r="C37" s="307"/>
      <c r="D37" s="315" t="s">
        <v>243</v>
      </c>
      <c r="E37" s="316"/>
      <c r="F37" s="307"/>
      <c r="G37" s="307"/>
      <c r="H37" s="308"/>
      <c r="I37" s="338">
        <v>7</v>
      </c>
      <c r="J37" s="351">
        <v>3.66</v>
      </c>
      <c r="K37" s="2"/>
      <c r="L37" s="117"/>
      <c r="M37" s="117"/>
      <c r="N37" s="117"/>
      <c r="O37" s="117"/>
      <c r="P37" s="117"/>
      <c r="Q37" s="117"/>
      <c r="R37" s="117"/>
      <c r="T37" s="2"/>
      <c r="U37" s="2"/>
    </row>
    <row r="38" spans="1:21" ht="13.9" customHeight="1">
      <c r="A38" s="87" t="s">
        <v>82</v>
      </c>
      <c r="B38" s="20"/>
      <c r="C38" s="20"/>
      <c r="D38" s="20"/>
      <c r="E38" s="20"/>
      <c r="F38" s="20"/>
      <c r="G38" s="307"/>
      <c r="H38" s="308"/>
      <c r="I38" s="338">
        <v>6</v>
      </c>
      <c r="J38" s="351">
        <v>4.1100000000000003</v>
      </c>
      <c r="K38" s="85" t="str">
        <f>CONCATENATE(Resonance!$K$22,Resonance!$L$33,$L$34,R28)</f>
        <v xml:space="preserve">δ = Skin depth at 77,5 kHz for copper 0,2342 Skin depth mm </v>
      </c>
      <c r="L38" s="310"/>
      <c r="M38" s="310"/>
      <c r="N38" s="310"/>
      <c r="O38" s="310"/>
      <c r="P38" s="310"/>
      <c r="Q38" s="84" t="s">
        <v>21</v>
      </c>
      <c r="R38" s="117"/>
      <c r="T38" s="2"/>
      <c r="U38" s="2"/>
    </row>
    <row r="39" spans="1:21" ht="13.9" customHeight="1">
      <c r="A39" s="87" t="s">
        <v>23</v>
      </c>
      <c r="B39" s="20"/>
      <c r="C39" s="20"/>
      <c r="D39" s="20"/>
      <c r="E39" s="20"/>
      <c r="F39" s="20"/>
      <c r="G39" s="20"/>
      <c r="H39" s="250"/>
      <c r="I39" s="338">
        <v>5</v>
      </c>
      <c r="J39" s="351">
        <v>4.62</v>
      </c>
      <c r="K39" s="309"/>
      <c r="L39" s="310"/>
      <c r="M39" s="310"/>
      <c r="N39" s="310"/>
      <c r="O39" s="310"/>
      <c r="P39" s="310"/>
      <c r="Q39" s="86">
        <v>0.127</v>
      </c>
      <c r="R39" s="117"/>
      <c r="T39" s="2"/>
      <c r="U39" s="2"/>
    </row>
    <row r="40" spans="1:21" ht="13.9" customHeight="1">
      <c r="A40" s="87" t="s">
        <v>193</v>
      </c>
      <c r="B40" s="28"/>
      <c r="C40" s="28"/>
      <c r="D40" s="28"/>
      <c r="E40" s="28"/>
      <c r="F40" s="28"/>
      <c r="G40" s="20"/>
      <c r="H40" s="250"/>
      <c r="I40" s="338">
        <v>4</v>
      </c>
      <c r="J40" s="351">
        <v>5.19</v>
      </c>
      <c r="K40" s="85" t="s">
        <v>208</v>
      </c>
      <c r="L40" s="85" t="str">
        <f>+L29</f>
        <v>Copper</v>
      </c>
      <c r="M40" s="85" t="s">
        <v>209</v>
      </c>
      <c r="N40" s="312"/>
      <c r="O40" s="312"/>
      <c r="P40" s="312"/>
      <c r="Q40" s="85">
        <v>92</v>
      </c>
      <c r="R40" s="244"/>
      <c r="S40" s="244"/>
      <c r="T40" s="2"/>
      <c r="U40" s="2"/>
    </row>
    <row r="41" spans="1:21" ht="13.9" customHeight="1">
      <c r="A41" s="87" t="s">
        <v>179</v>
      </c>
      <c r="B41" s="28"/>
      <c r="C41" s="28"/>
      <c r="D41" s="307"/>
      <c r="E41" s="307"/>
      <c r="F41" s="307"/>
      <c r="G41" s="28"/>
      <c r="H41" s="251"/>
      <c r="I41" s="338">
        <v>3</v>
      </c>
      <c r="J41" s="351">
        <v>5.83</v>
      </c>
      <c r="K41" s="309" t="str">
        <f>CONCATENATE(K40,L40,M40)</f>
        <v>Skin effekt in Copper wire of an air coil [Resonance Sheet]</v>
      </c>
      <c r="L41" s="310"/>
      <c r="M41" s="310"/>
      <c r="N41" s="310"/>
      <c r="O41" s="310"/>
      <c r="P41" s="310"/>
      <c r="Q41" s="84">
        <v>36</v>
      </c>
      <c r="R41" s="117"/>
      <c r="T41" s="2"/>
      <c r="U41" s="2"/>
    </row>
    <row r="42" spans="1:21" ht="13.9" customHeight="1">
      <c r="A42" s="171" t="s">
        <v>180</v>
      </c>
      <c r="B42" s="307"/>
      <c r="C42" s="392" t="s">
        <v>181</v>
      </c>
      <c r="D42" s="392"/>
      <c r="E42" s="392"/>
      <c r="F42" s="392"/>
      <c r="G42" s="392"/>
      <c r="H42" s="296"/>
      <c r="I42" s="338">
        <v>2</v>
      </c>
      <c r="J42" s="351">
        <v>6.54</v>
      </c>
      <c r="K42" s="309"/>
      <c r="L42" s="310"/>
      <c r="M42" s="310"/>
      <c r="N42" s="310"/>
      <c r="O42" s="310"/>
      <c r="P42" s="310"/>
      <c r="Q42" s="84">
        <v>39</v>
      </c>
      <c r="R42" s="117"/>
      <c r="T42" s="2"/>
      <c r="U42" s="2"/>
    </row>
    <row r="43" spans="1:21" ht="13.9" customHeight="1" thickBot="1">
      <c r="A43" s="31"/>
      <c r="B43" s="307"/>
      <c r="C43" s="307"/>
      <c r="D43" s="307"/>
      <c r="E43" s="307"/>
      <c r="F43" s="307"/>
      <c r="G43" s="307"/>
      <c r="H43" s="308"/>
      <c r="I43" s="358">
        <v>1</v>
      </c>
      <c r="J43" s="353">
        <v>7.35</v>
      </c>
      <c r="K43" s="85" t="s">
        <v>211</v>
      </c>
      <c r="L43" s="310"/>
      <c r="M43" s="310"/>
      <c r="N43" s="85" t="str">
        <f>+L29</f>
        <v>Copper</v>
      </c>
      <c r="O43" s="310"/>
      <c r="P43" s="310"/>
      <c r="Q43" s="86">
        <f>+(Q41-Resonance!D35)/Q42</f>
        <v>0.15384615384615385</v>
      </c>
      <c r="R43" s="117"/>
    </row>
    <row r="44" spans="1:21">
      <c r="A44" s="87" t="s">
        <v>190</v>
      </c>
      <c r="B44" s="307"/>
      <c r="C44" s="307"/>
      <c r="D44" s="307"/>
      <c r="E44" s="307"/>
      <c r="F44" s="307"/>
      <c r="G44" s="307"/>
      <c r="H44" s="308"/>
      <c r="I44" s="307"/>
      <c r="J44" s="308"/>
      <c r="K44" s="309" t="str">
        <f>CONCATENATE(K43,N43,".")</f>
        <v>of the conductor. Calculation here applies to Copper.</v>
      </c>
      <c r="L44" s="310"/>
      <c r="M44" s="310"/>
      <c r="N44" s="310"/>
      <c r="O44" s="310"/>
      <c r="P44" s="310"/>
      <c r="Q44" s="85">
        <f>+Resonance!D36/Q39</f>
        <v>2.0078740157480315</v>
      </c>
    </row>
    <row r="45" spans="1:21" ht="15">
      <c r="A45" s="87" t="s">
        <v>189</v>
      </c>
      <c r="B45" s="307"/>
      <c r="C45" s="307"/>
      <c r="D45" s="307"/>
      <c r="E45" s="307"/>
      <c r="F45" s="307"/>
      <c r="G45" s="307"/>
      <c r="H45" s="308"/>
      <c r="I45" s="382"/>
      <c r="J45" s="383"/>
      <c r="K45" s="309"/>
      <c r="L45" s="310"/>
      <c r="M45" s="310"/>
      <c r="N45" s="310"/>
      <c r="O45" s="310"/>
      <c r="P45" s="310"/>
      <c r="Q45" s="84">
        <f>LOG(Q44,Q40)</f>
        <v>0.154159454123517</v>
      </c>
    </row>
    <row r="46" spans="1:21" ht="15">
      <c r="A46" s="87" t="s">
        <v>83</v>
      </c>
      <c r="B46" s="307"/>
      <c r="C46" s="307"/>
      <c r="D46" s="307"/>
      <c r="E46" s="307"/>
      <c r="F46" s="307"/>
      <c r="G46" s="307"/>
      <c r="H46" s="308"/>
      <c r="I46" s="382" t="s">
        <v>258</v>
      </c>
      <c r="J46" s="383"/>
      <c r="K46" s="85" t="s">
        <v>213</v>
      </c>
      <c r="L46" s="313"/>
      <c r="M46" s="313"/>
      <c r="N46" s="313"/>
      <c r="O46" s="85" t="str">
        <f>+L29</f>
        <v>Copper</v>
      </c>
      <c r="P46" s="85" t="s">
        <v>199</v>
      </c>
      <c r="Q46" s="191"/>
    </row>
    <row r="47" spans="1:21" ht="15">
      <c r="A47" s="3"/>
      <c r="B47" s="307"/>
      <c r="C47" s="307"/>
      <c r="D47" s="307"/>
      <c r="E47" s="307"/>
      <c r="F47" s="307"/>
      <c r="G47" s="307"/>
      <c r="H47" s="308"/>
      <c r="I47" s="384" t="s">
        <v>259</v>
      </c>
      <c r="J47" s="385"/>
      <c r="K47" s="309" t="str">
        <f>CONCATENATE(K46,O46,P46)</f>
        <v>Calculation of Inductance of an air Coil one layer with Copper wire</v>
      </c>
      <c r="L47" s="313"/>
      <c r="M47" s="313"/>
      <c r="N47" s="313"/>
      <c r="O47" s="313"/>
      <c r="P47" s="313"/>
      <c r="Q47" s="395" t="s">
        <v>257</v>
      </c>
      <c r="R47" s="395"/>
    </row>
    <row r="48" spans="1:21" ht="18.75">
      <c r="A48" s="87" t="s">
        <v>191</v>
      </c>
      <c r="B48" s="307"/>
      <c r="C48" s="307"/>
      <c r="D48" s="307"/>
      <c r="E48" s="307"/>
      <c r="F48" s="307"/>
      <c r="G48" s="307"/>
      <c r="H48" s="308"/>
      <c r="I48" s="386" t="s">
        <v>260</v>
      </c>
      <c r="J48" s="387"/>
      <c r="K48" s="310"/>
      <c r="L48" s="310"/>
      <c r="M48" s="310"/>
      <c r="N48" s="310"/>
      <c r="O48" s="310"/>
      <c r="P48" s="310"/>
      <c r="Q48"/>
      <c r="S48" s="2"/>
    </row>
    <row r="49" spans="1:19">
      <c r="A49" s="87" t="s">
        <v>192</v>
      </c>
      <c r="B49" s="307"/>
      <c r="C49" s="307"/>
      <c r="D49" s="307"/>
      <c r="E49" s="307"/>
      <c r="F49" s="307"/>
      <c r="G49" s="307"/>
      <c r="H49" s="308"/>
      <c r="I49" s="307"/>
      <c r="J49" s="308"/>
      <c r="K49" s="85" t="s">
        <v>208</v>
      </c>
      <c r="L49" s="85" t="str">
        <f>+L29</f>
        <v>Copper</v>
      </c>
      <c r="M49" s="85" t="s">
        <v>214</v>
      </c>
      <c r="N49" s="85"/>
      <c r="O49" s="85"/>
      <c r="P49" s="85"/>
      <c r="Q49" s="118"/>
      <c r="R49" s="118"/>
      <c r="S49" s="118"/>
    </row>
    <row r="50" spans="1:19" ht="13.5" thickBot="1">
      <c r="A50" s="14"/>
      <c r="B50" s="10"/>
      <c r="C50" s="10"/>
      <c r="D50" s="10"/>
      <c r="E50" s="10"/>
      <c r="F50" s="10"/>
      <c r="G50" s="10"/>
      <c r="H50" s="15"/>
      <c r="I50" s="359"/>
      <c r="J50" s="15"/>
      <c r="K50" s="309" t="str">
        <f>CONCATENATE(K49,L49,M49)</f>
        <v>Skin effekt in Copper wire of a winded rod coil [Ferrite Rod Sheet]</v>
      </c>
      <c r="L50" s="310"/>
      <c r="M50" s="310"/>
      <c r="N50" s="310"/>
      <c r="O50" s="310"/>
      <c r="P50" s="310"/>
      <c r="S50" s="2"/>
    </row>
    <row r="51" spans="1:19">
      <c r="A51" s="11"/>
      <c r="B51" s="12"/>
      <c r="C51" s="12"/>
      <c r="D51" s="12"/>
      <c r="E51" s="12"/>
      <c r="F51" s="12"/>
      <c r="G51" s="12"/>
      <c r="H51" s="12"/>
      <c r="I51" s="12"/>
      <c r="J51" s="13"/>
      <c r="K51" s="310"/>
      <c r="L51" s="310"/>
      <c r="M51" s="310"/>
      <c r="N51" s="310"/>
      <c r="O51" s="310"/>
      <c r="P51" s="310"/>
    </row>
    <row r="52" spans="1:19">
      <c r="A52" s="3"/>
      <c r="B52" s="307"/>
      <c r="C52" s="307"/>
      <c r="D52" s="307"/>
      <c r="E52" s="307"/>
      <c r="F52" s="307"/>
      <c r="G52" s="307"/>
      <c r="H52" s="307"/>
      <c r="I52" s="307"/>
      <c r="J52" s="308"/>
      <c r="K52" s="85" t="s">
        <v>208</v>
      </c>
      <c r="L52" s="85" t="str">
        <f>+L29</f>
        <v>Copper</v>
      </c>
      <c r="M52" s="85" t="s">
        <v>215</v>
      </c>
      <c r="N52" s="85"/>
      <c r="O52" s="85"/>
      <c r="P52" s="85"/>
      <c r="Q52" s="118"/>
      <c r="R52" s="118"/>
      <c r="S52" s="118"/>
    </row>
    <row r="53" spans="1:19">
      <c r="A53" s="3"/>
      <c r="B53" s="307"/>
      <c r="C53" s="307"/>
      <c r="D53" s="307"/>
      <c r="E53" s="307"/>
      <c r="F53" s="307"/>
      <c r="G53" s="307"/>
      <c r="H53" s="307"/>
      <c r="I53" s="307"/>
      <c r="J53" s="308"/>
      <c r="K53" s="309" t="str">
        <f>CONCATENATE(K52,L52,M52)</f>
        <v>Skin effekt in Copper wire of a winded bar coil [Ferrite Rod Sheet]</v>
      </c>
      <c r="L53" s="310"/>
      <c r="M53" s="310"/>
      <c r="N53" s="310"/>
      <c r="O53" s="310"/>
      <c r="P53" s="310"/>
    </row>
    <row r="54" spans="1:19">
      <c r="A54" s="3"/>
      <c r="B54" s="307"/>
      <c r="C54" s="307"/>
      <c r="D54" s="307"/>
      <c r="E54" s="307"/>
      <c r="F54" s="307"/>
      <c r="G54" s="307"/>
      <c r="H54" s="307"/>
      <c r="I54" s="307"/>
      <c r="J54" s="308"/>
      <c r="K54" s="309"/>
      <c r="L54" s="310"/>
      <c r="M54" s="310"/>
      <c r="N54" s="310"/>
      <c r="O54" s="310"/>
      <c r="P54" s="310"/>
    </row>
    <row r="55" spans="1:19">
      <c r="A55" s="3"/>
      <c r="B55" s="307"/>
      <c r="C55" s="307"/>
      <c r="D55" s="307"/>
      <c r="E55" s="307"/>
      <c r="F55" s="307"/>
      <c r="G55" s="307"/>
      <c r="H55" s="307"/>
      <c r="I55" s="307"/>
      <c r="J55" s="308"/>
      <c r="K55" s="85" t="s">
        <v>225</v>
      </c>
      <c r="L55" s="310" t="str">
        <f>+L29</f>
        <v>Copper</v>
      </c>
      <c r="M55" s="85" t="s">
        <v>226</v>
      </c>
      <c r="N55" s="310"/>
      <c r="O55" s="310"/>
      <c r="P55" s="310"/>
    </row>
    <row r="56" spans="1:19">
      <c r="A56" s="355"/>
      <c r="B56" s="307"/>
      <c r="C56" s="307"/>
      <c r="D56" s="307"/>
      <c r="E56" s="307"/>
      <c r="F56" s="307"/>
      <c r="G56" s="307"/>
      <c r="H56" s="307"/>
      <c r="I56" s="307"/>
      <c r="J56" s="308"/>
      <c r="K56" s="309" t="str">
        <f>CONCATENATE(K55,L55,M55)</f>
        <v>Effective Copper diameter</v>
      </c>
      <c r="L56" s="311"/>
      <c r="M56" s="311"/>
      <c r="N56" s="311"/>
      <c r="O56" s="310"/>
      <c r="P56" s="310"/>
      <c r="S56" s="2"/>
    </row>
    <row r="57" spans="1:19">
      <c r="A57" s="356"/>
      <c r="B57" s="303"/>
      <c r="C57" s="303"/>
      <c r="D57" s="307"/>
      <c r="E57" s="307"/>
      <c r="F57" s="307"/>
      <c r="G57" s="307"/>
      <c r="H57" s="307"/>
      <c r="I57" s="307"/>
      <c r="J57" s="308"/>
      <c r="K57" s="309"/>
      <c r="L57" s="310"/>
      <c r="M57" s="310"/>
      <c r="N57" s="310"/>
      <c r="O57" s="310"/>
      <c r="P57" s="310"/>
      <c r="S57" s="2"/>
    </row>
    <row r="58" spans="1:19">
      <c r="A58" s="3"/>
      <c r="B58" s="307"/>
      <c r="C58" s="307"/>
      <c r="D58" s="307"/>
      <c r="E58" s="307"/>
      <c r="F58" s="307"/>
      <c r="G58" s="307"/>
      <c r="H58" s="307"/>
      <c r="I58" s="307"/>
      <c r="J58" s="308"/>
      <c r="K58" s="85" t="s">
        <v>227</v>
      </c>
      <c r="L58" s="310" t="str">
        <f>+L29</f>
        <v>Copper</v>
      </c>
      <c r="M58" s="85" t="s">
        <v>228</v>
      </c>
      <c r="N58" s="310"/>
      <c r="O58" s="310"/>
      <c r="P58" s="310"/>
      <c r="S58" s="2"/>
    </row>
    <row r="59" spans="1:19">
      <c r="A59" s="3"/>
      <c r="B59" s="307"/>
      <c r="C59" s="307"/>
      <c r="D59" s="307"/>
      <c r="E59" s="307"/>
      <c r="F59" s="307"/>
      <c r="G59" s="307"/>
      <c r="H59" s="307"/>
      <c r="I59" s="307"/>
      <c r="J59" s="308"/>
      <c r="K59" s="309" t="str">
        <f>CONCATENATE(K58,L58,M58)</f>
        <v>Enamelled Copper  wire min 0,03 mm</v>
      </c>
      <c r="L59" s="310"/>
      <c r="M59" s="310"/>
      <c r="N59" s="310"/>
      <c r="O59" s="310"/>
      <c r="P59" s="310"/>
      <c r="S59" s="2"/>
    </row>
    <row r="60" spans="1:19">
      <c r="A60" s="3"/>
      <c r="B60" s="307"/>
      <c r="C60" s="307"/>
      <c r="D60" s="307"/>
      <c r="E60" s="307"/>
      <c r="F60" s="307"/>
      <c r="G60" s="307"/>
      <c r="H60" s="307"/>
      <c r="I60" s="307"/>
      <c r="J60" s="308"/>
      <c r="K60" s="309"/>
      <c r="L60" s="310"/>
      <c r="M60" s="310"/>
      <c r="N60" s="310"/>
      <c r="O60" s="310"/>
      <c r="P60" s="310"/>
      <c r="Q60"/>
      <c r="S60" s="2"/>
    </row>
    <row r="61" spans="1:19">
      <c r="A61" s="3"/>
      <c r="B61" s="307"/>
      <c r="C61" s="307"/>
      <c r="D61" s="307"/>
      <c r="E61" s="307"/>
      <c r="F61" s="307"/>
      <c r="G61" s="307"/>
      <c r="H61" s="307"/>
      <c r="I61" s="307"/>
      <c r="J61" s="308"/>
      <c r="K61" s="85" t="s">
        <v>230</v>
      </c>
      <c r="L61" s="310" t="str">
        <f>+L29</f>
        <v>Copper</v>
      </c>
      <c r="M61" s="85" t="s">
        <v>229</v>
      </c>
      <c r="N61" s="310"/>
      <c r="O61" s="310"/>
      <c r="P61" s="310"/>
      <c r="S61" s="2"/>
    </row>
    <row r="62" spans="1:19">
      <c r="A62" s="3"/>
      <c r="B62" s="307"/>
      <c r="C62" s="307"/>
      <c r="D62" s="307"/>
      <c r="E62" s="307"/>
      <c r="F62" s="307"/>
      <c r="G62" s="307"/>
      <c r="H62" s="307"/>
      <c r="I62" s="307"/>
      <c r="J62" s="308"/>
      <c r="K62" s="309" t="str">
        <f>CONCATENATE(K61,L61,M61)</f>
        <v>Non enamelled Copper wire min 0,1 mm</v>
      </c>
      <c r="L62" s="311"/>
      <c r="M62" s="311"/>
      <c r="N62" s="311"/>
      <c r="O62" s="310"/>
      <c r="P62" s="310"/>
      <c r="S62" s="2"/>
    </row>
    <row r="63" spans="1:19">
      <c r="A63" s="3"/>
      <c r="B63" s="307"/>
      <c r="C63" s="307"/>
      <c r="D63" s="307"/>
      <c r="E63" s="307"/>
      <c r="F63" s="307"/>
      <c r="G63" s="307"/>
      <c r="H63" s="307"/>
      <c r="I63" s="307"/>
      <c r="J63" s="308"/>
      <c r="K63" s="311"/>
      <c r="L63" s="311"/>
      <c r="M63" s="311"/>
      <c r="N63" s="311"/>
      <c r="O63" s="310"/>
      <c r="P63" s="310"/>
      <c r="S63" s="2"/>
    </row>
    <row r="64" spans="1:19">
      <c r="A64" s="3"/>
      <c r="B64" s="307"/>
      <c r="C64" s="307"/>
      <c r="D64" s="307"/>
      <c r="E64" s="307"/>
      <c r="F64" s="307"/>
      <c r="G64" s="307"/>
      <c r="H64" s="307"/>
      <c r="I64" s="307"/>
      <c r="J64" s="308"/>
      <c r="K64" s="85" t="s">
        <v>234</v>
      </c>
      <c r="L64" s="85"/>
      <c r="M64" s="85" t="str">
        <f>+L29</f>
        <v>Copper</v>
      </c>
      <c r="N64" s="85" t="s">
        <v>233</v>
      </c>
      <c r="O64" s="85"/>
      <c r="P64" s="85"/>
      <c r="S64" s="2"/>
    </row>
    <row r="65" spans="1:19">
      <c r="A65" s="3"/>
      <c r="B65" s="307"/>
      <c r="C65" s="307"/>
      <c r="D65" s="307"/>
      <c r="E65" s="307"/>
      <c r="F65" s="307"/>
      <c r="G65" s="307"/>
      <c r="H65" s="307"/>
      <c r="I65" s="307"/>
      <c r="J65" s="308"/>
      <c r="K65" s="309" t="str">
        <f>CONCATENATE(K64,M64,N64)</f>
        <v>The diameter of the enamelled Copper wire is the effective diameter.</v>
      </c>
      <c r="L65" s="311"/>
      <c r="M65" s="311"/>
      <c r="N65" s="311"/>
      <c r="O65" s="310"/>
      <c r="P65" s="310"/>
      <c r="S65" s="2"/>
    </row>
    <row r="66" spans="1:19">
      <c r="A66" s="3"/>
      <c r="B66" s="307"/>
      <c r="C66" s="307"/>
      <c r="D66" s="307"/>
      <c r="E66" s="307"/>
      <c r="F66" s="307"/>
      <c r="G66" s="307"/>
      <c r="H66" s="307"/>
      <c r="I66" s="307"/>
      <c r="J66" s="308"/>
      <c r="K66" s="1"/>
      <c r="L66" s="1"/>
      <c r="M66" s="1"/>
      <c r="N66" s="1"/>
      <c r="S66" s="2"/>
    </row>
    <row r="67" spans="1:19">
      <c r="A67" s="3"/>
      <c r="B67" s="307"/>
      <c r="C67" s="307"/>
      <c r="D67" s="307"/>
      <c r="E67" s="307"/>
      <c r="F67" s="307"/>
      <c r="G67" s="307"/>
      <c r="H67" s="307"/>
      <c r="I67" s="307"/>
      <c r="J67" s="308"/>
      <c r="K67" s="336" t="s">
        <v>244</v>
      </c>
      <c r="L67" s="1" t="str">
        <f>+L29</f>
        <v>Copper</v>
      </c>
      <c r="M67" s="81" t="s">
        <v>245</v>
      </c>
      <c r="N67" s="1">
        <f>+ROUND(E28*R3,2)</f>
        <v>1.52</v>
      </c>
      <c r="O67" s="225" t="s">
        <v>246</v>
      </c>
      <c r="S67" s="2"/>
    </row>
    <row r="68" spans="1:19">
      <c r="A68" s="3"/>
      <c r="B68" s="307"/>
      <c r="C68" s="307"/>
      <c r="D68" s="307"/>
      <c r="E68" s="307"/>
      <c r="F68" s="307"/>
      <c r="G68" s="307"/>
      <c r="H68" s="307"/>
      <c r="I68" s="307"/>
      <c r="J68" s="308"/>
      <c r="K68" s="1" t="str">
        <f>CONCATENATE(K67,L67,M67,N67,O67)</f>
        <v>Resistance of Copper wire 1,52 Ω</v>
      </c>
      <c r="L68" s="1"/>
      <c r="M68" s="1"/>
      <c r="N68" s="1"/>
      <c r="S68" s="2"/>
    </row>
    <row r="69" spans="1:19">
      <c r="A69" s="3"/>
      <c r="B69" s="307"/>
      <c r="C69" s="307"/>
      <c r="D69" s="307"/>
      <c r="E69" s="307"/>
      <c r="F69" s="307"/>
      <c r="G69" s="307"/>
      <c r="H69" s="307"/>
      <c r="I69" s="307"/>
      <c r="J69" s="308"/>
      <c r="K69" s="1"/>
      <c r="L69" s="1"/>
      <c r="M69" s="1"/>
      <c r="N69" s="1"/>
      <c r="S69" s="2"/>
    </row>
    <row r="70" spans="1:19">
      <c r="A70" s="3"/>
      <c r="B70" s="307"/>
      <c r="C70" s="307"/>
      <c r="D70" s="307"/>
      <c r="E70" s="307"/>
      <c r="F70" s="307"/>
      <c r="G70" s="307"/>
      <c r="H70" s="307"/>
      <c r="I70" s="307"/>
      <c r="J70" s="308"/>
      <c r="K70" s="367" t="s">
        <v>251</v>
      </c>
      <c r="L70" s="1" t="str">
        <f>+L29</f>
        <v>Copper</v>
      </c>
      <c r="M70" s="367" t="s">
        <v>252</v>
      </c>
      <c r="N70" s="1"/>
      <c r="O70" s="2" t="str">
        <f>+K13</f>
        <v>Maksimal frequency 285,576 kHz</v>
      </c>
      <c r="S70" s="2"/>
    </row>
    <row r="71" spans="1:19">
      <c r="A71" s="3"/>
      <c r="B71" s="307"/>
      <c r="C71" s="307"/>
      <c r="D71" s="307"/>
      <c r="E71" s="307"/>
      <c r="F71" s="307"/>
      <c r="G71" s="307"/>
      <c r="H71" s="307"/>
      <c r="I71" s="307"/>
      <c r="J71" s="308"/>
      <c r="K71" s="1" t="str">
        <f>CONCATENATE(K70,L70,M70,O70)</f>
        <v>The selected Copper wire has the following data:  Maksimal frequency 285,576 kHz</v>
      </c>
      <c r="L71" s="1"/>
      <c r="M71" s="1"/>
      <c r="N71" s="1"/>
      <c r="S71" s="2"/>
    </row>
    <row r="72" spans="1:19">
      <c r="A72" s="3"/>
      <c r="B72" s="307"/>
      <c r="C72" s="307"/>
      <c r="D72" s="307"/>
      <c r="E72" s="307"/>
      <c r="F72" s="307"/>
      <c r="G72" s="307"/>
      <c r="H72" s="307"/>
      <c r="I72" s="307"/>
      <c r="J72" s="308"/>
      <c r="K72" s="1"/>
      <c r="L72" s="1"/>
      <c r="M72" s="1"/>
      <c r="N72" s="1"/>
      <c r="S72" s="2"/>
    </row>
    <row r="73" spans="1:19">
      <c r="A73" s="3"/>
      <c r="B73" s="307"/>
      <c r="C73" s="307"/>
      <c r="D73" s="307"/>
      <c r="E73" s="307"/>
      <c r="F73" s="307"/>
      <c r="G73" s="307"/>
      <c r="H73" s="307"/>
      <c r="I73" s="307"/>
      <c r="J73" s="308"/>
      <c r="K73" s="1"/>
      <c r="L73" s="1"/>
      <c r="M73" s="1"/>
      <c r="N73" s="1"/>
      <c r="S73" s="2"/>
    </row>
    <row r="74" spans="1:19">
      <c r="A74" s="3"/>
      <c r="B74" s="307"/>
      <c r="C74" s="307"/>
      <c r="D74" s="307"/>
      <c r="E74" s="307"/>
      <c r="F74" s="307"/>
      <c r="G74" s="307"/>
      <c r="H74" s="307"/>
      <c r="I74" s="307"/>
      <c r="J74" s="308"/>
      <c r="K74" s="1"/>
      <c r="L74" s="1"/>
      <c r="M74" s="1"/>
      <c r="N74" s="1"/>
      <c r="S74" s="2"/>
    </row>
    <row r="75" spans="1:19">
      <c r="A75" s="3"/>
      <c r="B75" s="307"/>
      <c r="C75" s="307"/>
      <c r="D75" s="307"/>
      <c r="E75" s="307"/>
      <c r="F75" s="307"/>
      <c r="G75" s="307"/>
      <c r="H75" s="307"/>
      <c r="I75" s="307"/>
      <c r="J75" s="308"/>
      <c r="K75" s="1"/>
      <c r="L75" s="1"/>
      <c r="M75" s="1"/>
      <c r="N75" s="1"/>
      <c r="S75" s="2"/>
    </row>
    <row r="76" spans="1:19">
      <c r="A76" s="3"/>
      <c r="B76" s="307"/>
      <c r="C76" s="307"/>
      <c r="D76" s="307"/>
      <c r="E76" s="307"/>
      <c r="F76" s="307"/>
      <c r="G76" s="307"/>
      <c r="H76" s="307"/>
      <c r="I76" s="307"/>
      <c r="J76" s="308"/>
      <c r="K76" s="1"/>
      <c r="L76" s="1"/>
      <c r="M76" s="1"/>
      <c r="N76" s="1"/>
      <c r="S76" s="2"/>
    </row>
    <row r="77" spans="1:19">
      <c r="A77" s="3"/>
      <c r="B77" s="307"/>
      <c r="C77" s="307"/>
      <c r="D77" s="307"/>
      <c r="E77" s="307"/>
      <c r="F77" s="307"/>
      <c r="G77" s="307"/>
      <c r="H77" s="307"/>
      <c r="I77" s="307"/>
      <c r="J77" s="308"/>
      <c r="K77" s="1"/>
      <c r="L77" s="1"/>
      <c r="M77" s="1"/>
      <c r="N77" s="1"/>
      <c r="S77" s="2"/>
    </row>
    <row r="78" spans="1:19">
      <c r="A78" s="3"/>
      <c r="B78" s="307"/>
      <c r="C78" s="307"/>
      <c r="D78" s="307"/>
      <c r="E78" s="307"/>
      <c r="F78" s="307"/>
      <c r="G78" s="307"/>
      <c r="H78" s="307"/>
      <c r="I78" s="307"/>
      <c r="J78" s="308"/>
      <c r="K78" s="1"/>
      <c r="L78" s="1"/>
      <c r="M78" s="1"/>
      <c r="N78" s="1"/>
      <c r="S78" s="2"/>
    </row>
    <row r="79" spans="1:19">
      <c r="A79" s="3"/>
      <c r="B79" s="307"/>
      <c r="C79" s="307"/>
      <c r="D79" s="307"/>
      <c r="E79" s="307"/>
      <c r="F79" s="307"/>
      <c r="G79" s="307"/>
      <c r="H79" s="307"/>
      <c r="I79" s="307"/>
      <c r="J79" s="308"/>
      <c r="K79" s="1"/>
      <c r="L79" s="1"/>
      <c r="M79" s="1"/>
      <c r="N79" s="1"/>
      <c r="S79" s="2"/>
    </row>
    <row r="80" spans="1:19">
      <c r="A80" s="3"/>
      <c r="B80" s="307"/>
      <c r="C80" s="307"/>
      <c r="D80" s="307"/>
      <c r="E80" s="307"/>
      <c r="F80" s="307"/>
      <c r="G80" s="307"/>
      <c r="H80" s="307"/>
      <c r="I80" s="307"/>
      <c r="J80" s="308"/>
      <c r="K80" s="1"/>
      <c r="L80" s="1"/>
      <c r="M80" s="1"/>
      <c r="N80" s="1"/>
      <c r="S80" s="2"/>
    </row>
    <row r="81" spans="1:19">
      <c r="A81" s="3"/>
      <c r="B81" s="307"/>
      <c r="C81" s="307"/>
      <c r="D81" s="307"/>
      <c r="E81" s="307"/>
      <c r="F81" s="307"/>
      <c r="G81" s="307"/>
      <c r="H81" s="307"/>
      <c r="I81" s="307"/>
      <c r="J81" s="308"/>
      <c r="S81" s="2"/>
    </row>
    <row r="82" spans="1:19">
      <c r="A82" s="3"/>
      <c r="B82" s="307"/>
      <c r="C82" s="307"/>
      <c r="D82" s="307"/>
      <c r="E82" s="307"/>
      <c r="F82" s="307"/>
      <c r="G82" s="307"/>
      <c r="H82" s="307"/>
      <c r="I82" s="307"/>
      <c r="J82" s="308"/>
      <c r="S82" s="2"/>
    </row>
    <row r="83" spans="1:19">
      <c r="A83" s="3"/>
      <c r="B83" s="307"/>
      <c r="C83" s="307"/>
      <c r="D83" s="307"/>
      <c r="E83" s="307"/>
      <c r="F83" s="307"/>
      <c r="G83" s="307"/>
      <c r="H83" s="307"/>
      <c r="I83" s="307"/>
      <c r="J83" s="308"/>
      <c r="S83" s="2"/>
    </row>
    <row r="84" spans="1:19">
      <c r="A84" s="3"/>
      <c r="B84" s="307"/>
      <c r="C84" s="307"/>
      <c r="D84" s="307"/>
      <c r="E84" s="307"/>
      <c r="F84" s="307"/>
      <c r="G84" s="307"/>
      <c r="H84" s="307"/>
      <c r="I84" s="307"/>
      <c r="J84" s="308"/>
      <c r="K84" s="2"/>
      <c r="S84" s="2"/>
    </row>
    <row r="85" spans="1:19" ht="13.5" thickBot="1">
      <c r="A85" s="375" t="s">
        <v>15</v>
      </c>
      <c r="B85" s="10"/>
      <c r="C85" s="10"/>
      <c r="D85" s="10"/>
      <c r="E85" s="10"/>
      <c r="F85" s="10"/>
      <c r="G85" s="10"/>
      <c r="H85" s="10"/>
      <c r="I85" s="380" t="s">
        <v>261</v>
      </c>
      <c r="J85" s="381"/>
      <c r="K85" s="2"/>
      <c r="S85" s="2"/>
    </row>
    <row r="86" spans="1:19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S86" s="2"/>
    </row>
    <row r="87" spans="1:19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S87" s="2"/>
    </row>
    <row r="88" spans="1:19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S88" s="2"/>
    </row>
    <row r="89" spans="1:1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S93" s="2"/>
    </row>
    <row r="94" spans="1:19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S94" s="2"/>
    </row>
    <row r="95" spans="1:19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S95" s="2"/>
    </row>
    <row r="96" spans="1:19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S96" s="2"/>
    </row>
    <row r="97" spans="1:19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S97" s="2"/>
    </row>
    <row r="98" spans="1:19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S98" s="2"/>
    </row>
    <row r="99" spans="1:1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S99" s="2"/>
    </row>
    <row r="100" spans="1:19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S100" s="2"/>
    </row>
    <row r="101" spans="1:19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S101" s="2"/>
    </row>
    <row r="102" spans="1:19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S102" s="2"/>
    </row>
    <row r="103" spans="1:19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S103" s="2"/>
    </row>
    <row r="104" spans="1:19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S104" s="2"/>
    </row>
    <row r="105" spans="1:19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S105" s="2"/>
    </row>
    <row r="106" spans="1:19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S106" s="2"/>
    </row>
    <row r="107" spans="1:19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S107" s="2"/>
    </row>
    <row r="108" spans="1:19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S112" s="2"/>
    </row>
    <row r="113" spans="1:19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S113" s="2"/>
    </row>
    <row r="114" spans="1:19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S114" s="2"/>
    </row>
    <row r="115" spans="1:19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S115" s="2"/>
    </row>
    <row r="116" spans="1:19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S116" s="2"/>
    </row>
    <row r="117" spans="1:19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S117" s="2"/>
    </row>
    <row r="118" spans="1:19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S118" s="2"/>
    </row>
    <row r="119" spans="1: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S119" s="2"/>
    </row>
    <row r="120" spans="1:19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S120" s="2"/>
    </row>
    <row r="121" spans="1:19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S121" s="2"/>
    </row>
    <row r="122" spans="1:19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S122" s="2"/>
    </row>
    <row r="123" spans="1:1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S123" s="2"/>
    </row>
    <row r="124" spans="1:19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S127" s="2"/>
    </row>
    <row r="128" spans="1:19" ht="13.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S128" s="2"/>
    </row>
    <row r="129" spans="1:19" ht="13.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S129" s="2"/>
    </row>
    <row r="130" spans="1:19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S130" s="2"/>
    </row>
    <row r="131" spans="1:19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S131" s="2"/>
    </row>
    <row r="132" spans="1:19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S132" s="2"/>
    </row>
    <row r="133" spans="1:19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S133" s="2"/>
    </row>
    <row r="134" spans="1:19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S138" s="2"/>
    </row>
    <row r="139" spans="1:1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S139" s="2"/>
    </row>
    <row r="140" spans="1:19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S140" s="2"/>
    </row>
    <row r="141" spans="1:19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S141" s="2"/>
    </row>
    <row r="142" spans="1:19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S142" s="2"/>
    </row>
    <row r="143" spans="1:19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S147" s="2"/>
    </row>
    <row r="148" spans="1:19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S148" s="2"/>
    </row>
    <row r="149" spans="1:1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S149" s="2"/>
    </row>
    <row r="150" spans="1:19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S150" s="2"/>
    </row>
    <row r="151" spans="1:1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S155" s="2"/>
    </row>
    <row r="156" spans="1:19">
      <c r="A156" s="23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</row>
    <row r="157" spans="1:19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</row>
    <row r="158" spans="1:19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</row>
    <row r="159" spans="1:19">
      <c r="A159" s="23"/>
      <c r="B159" s="23"/>
      <c r="C159" s="23"/>
      <c r="D159" s="24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</row>
    <row r="160" spans="1:19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</row>
    <row r="161" spans="1:19" ht="15.75">
      <c r="A161" s="25"/>
      <c r="B161" s="25"/>
      <c r="C161" s="25"/>
      <c r="D161" s="72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</row>
    <row r="162" spans="1:19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:19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</row>
    <row r="164" spans="1:19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</row>
    <row r="165" spans="1:19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</row>
    <row r="166" spans="1:19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</row>
    <row r="167" spans="1:19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</row>
    <row r="168" spans="1:19">
      <c r="A168" s="17"/>
      <c r="B168" s="17"/>
      <c r="C168" s="17"/>
      <c r="D168" s="17"/>
      <c r="E168" s="26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</row>
    <row r="169" spans="1:19">
      <c r="A169" s="17"/>
      <c r="B169" s="17"/>
      <c r="C169" s="17"/>
      <c r="D169" s="17"/>
      <c r="E169" s="26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</row>
    <row r="170" spans="1:19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</row>
    <row r="171" spans="1:19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</row>
    <row r="172" spans="1:19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</row>
    <row r="173" spans="1:19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</row>
    <row r="174" spans="1:19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</row>
    <row r="175" spans="1:19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</row>
    <row r="176" spans="1:19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</row>
    <row r="177" spans="1:19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</row>
    <row r="178" spans="1:19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</row>
    <row r="179" spans="1:1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</row>
    <row r="180" spans="1:19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</row>
    <row r="181" spans="1:19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</row>
    <row r="182" spans="1:19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</row>
    <row r="183" spans="1:19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</row>
    <row r="184" spans="1:19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</row>
    <row r="185" spans="1:19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S186" s="2"/>
    </row>
    <row r="187" spans="1:19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S187" s="2"/>
    </row>
    <row r="188" spans="1:19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S188" s="2"/>
    </row>
    <row r="189" spans="1:1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S189" s="2"/>
    </row>
    <row r="190" spans="1:19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S190" s="2"/>
    </row>
    <row r="191" spans="1:19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S191" s="2"/>
    </row>
    <row r="192" spans="1:19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S192" s="2"/>
    </row>
    <row r="193" spans="1:19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S197" s="2"/>
    </row>
    <row r="198" spans="1:19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S198" s="2"/>
    </row>
    <row r="199" spans="1:1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S199" s="2"/>
    </row>
    <row r="200" spans="1:19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S200" s="2"/>
    </row>
    <row r="201" spans="1:19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S201" s="2"/>
    </row>
    <row r="202" spans="1:19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S202" s="2"/>
    </row>
    <row r="203" spans="1:19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S203" s="2"/>
    </row>
    <row r="204" spans="1:19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S204" s="2"/>
    </row>
    <row r="205" spans="1:19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S205" s="2"/>
    </row>
    <row r="206" spans="1:19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S206" s="2"/>
    </row>
    <row r="207" spans="1:19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S207" s="2"/>
    </row>
    <row r="208" spans="1:19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S212" s="2"/>
    </row>
    <row r="213" spans="1:19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S213" s="2"/>
    </row>
    <row r="214" spans="1:19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S214" s="2"/>
    </row>
    <row r="215" spans="1:19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S215" s="2"/>
    </row>
    <row r="216" spans="1:19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S216" s="2"/>
    </row>
    <row r="217" spans="1:19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S217" s="2"/>
    </row>
    <row r="218" spans="1:19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S218" s="2"/>
    </row>
    <row r="219" spans="1: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S222" s="2"/>
    </row>
    <row r="223" spans="1:19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S223" s="2"/>
    </row>
    <row r="224" spans="1:19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S224" s="2"/>
    </row>
    <row r="225" spans="1:19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S225" s="2"/>
    </row>
    <row r="226" spans="1:19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S226" s="2"/>
    </row>
  </sheetData>
  <mergeCells count="21">
    <mergeCell ref="Q47:R47"/>
    <mergeCell ref="I1:J1"/>
    <mergeCell ref="I2:J2"/>
    <mergeCell ref="I47:J47"/>
    <mergeCell ref="A22:A26"/>
    <mergeCell ref="F22:G22"/>
    <mergeCell ref="A2:A3"/>
    <mergeCell ref="A9:G9"/>
    <mergeCell ref="A1:H1"/>
    <mergeCell ref="A18:H19"/>
    <mergeCell ref="A7:A8"/>
    <mergeCell ref="I85:J85"/>
    <mergeCell ref="I45:J45"/>
    <mergeCell ref="I46:J46"/>
    <mergeCell ref="I48:J48"/>
    <mergeCell ref="F10:H10"/>
    <mergeCell ref="F11:H11"/>
    <mergeCell ref="C42:G42"/>
    <mergeCell ref="A10:A12"/>
    <mergeCell ref="B13:C13"/>
    <mergeCell ref="F13:G13"/>
  </mergeCells>
  <phoneticPr fontId="3" type="noConversion"/>
  <dataValidations count="3">
    <dataValidation type="list" allowBlank="1" showInputMessage="1" showErrorMessage="1" sqref="D35 F21">
      <formula1>$I$4:$I$43</formula1>
    </dataValidation>
    <dataValidation type="list" allowBlank="1" showInputMessage="1" showErrorMessage="1" sqref="D36">
      <formula1>$J$4:$J$43</formula1>
    </dataValidation>
    <dataValidation type="list" allowBlank="1" showInputMessage="1" showErrorMessage="1" sqref="G21">
      <formula1>$M$30:$M$36</formula1>
    </dataValidation>
  </dataValidations>
  <hyperlinks>
    <hyperlink ref="C42" r:id="rId1"/>
    <hyperlink ref="I47" r:id="rId2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79"/>
  <sheetViews>
    <sheetView zoomScaleNormal="100" workbookViewId="0">
      <selection activeCell="J49" sqref="J49:O49"/>
    </sheetView>
  </sheetViews>
  <sheetFormatPr defaultColWidth="8.85546875" defaultRowHeight="12.75"/>
  <cols>
    <col min="1" max="1" width="18.7109375" style="1" customWidth="1"/>
    <col min="2" max="2" width="17.85546875" style="1" bestFit="1" customWidth="1"/>
    <col min="3" max="3" width="16.7109375" style="1" customWidth="1"/>
    <col min="4" max="4" width="12.7109375" style="1" customWidth="1"/>
    <col min="5" max="5" width="8.7109375" style="1" bestFit="1" customWidth="1"/>
    <col min="6" max="6" width="14.7109375" style="1" customWidth="1"/>
    <col min="7" max="7" width="12.7109375" style="1" bestFit="1" customWidth="1"/>
    <col min="8" max="8" width="19.7109375" style="1" customWidth="1"/>
    <col min="9" max="9" width="12.7109375" style="1" customWidth="1"/>
    <col min="10" max="10" width="13.7109375" style="1" customWidth="1"/>
    <col min="11" max="11" width="11.7109375" style="1" customWidth="1"/>
    <col min="12" max="12" width="12.7109375" style="1" customWidth="1"/>
    <col min="13" max="13" width="5.7109375" style="1" customWidth="1"/>
    <col min="14" max="14" width="7.7109375" style="1" customWidth="1"/>
    <col min="15" max="15" width="22.7109375" style="1" customWidth="1"/>
    <col min="16" max="16" width="5.42578125" style="1" bestFit="1" customWidth="1"/>
    <col min="17" max="16384" width="8.85546875" style="1"/>
  </cols>
  <sheetData>
    <row r="1" spans="1:17" ht="24" customHeight="1" thickBot="1">
      <c r="A1" s="450" t="s">
        <v>156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2"/>
      <c r="P1" s="21"/>
    </row>
    <row r="2" spans="1:17" ht="13.9" customHeight="1">
      <c r="A2" s="453" t="s">
        <v>62</v>
      </c>
      <c r="B2" s="454"/>
      <c r="C2" s="454"/>
      <c r="D2" s="455"/>
      <c r="E2" s="453" t="s">
        <v>89</v>
      </c>
      <c r="F2" s="454"/>
      <c r="G2" s="454"/>
      <c r="H2" s="455"/>
      <c r="I2" s="55" t="s">
        <v>30</v>
      </c>
      <c r="J2" s="59" t="s">
        <v>109</v>
      </c>
      <c r="K2" s="11"/>
      <c r="L2" s="62" t="s">
        <v>112</v>
      </c>
      <c r="M2" s="11"/>
      <c r="N2" s="12"/>
      <c r="O2" s="62" t="s">
        <v>132</v>
      </c>
      <c r="P2" s="2"/>
    </row>
    <row r="3" spans="1:17" ht="13.9" customHeight="1">
      <c r="A3" s="3"/>
      <c r="B3" s="269" t="s">
        <v>39</v>
      </c>
      <c r="C3" s="269" t="s">
        <v>40</v>
      </c>
      <c r="D3" s="43" t="s">
        <v>41</v>
      </c>
      <c r="E3" s="268" t="s">
        <v>38</v>
      </c>
      <c r="F3" s="269" t="s">
        <v>31</v>
      </c>
      <c r="G3" s="269" t="s">
        <v>42</v>
      </c>
      <c r="H3" s="43" t="s">
        <v>45</v>
      </c>
      <c r="I3" s="46" t="s">
        <v>79</v>
      </c>
      <c r="J3" s="47" t="s">
        <v>44</v>
      </c>
      <c r="K3" s="268" t="s">
        <v>43</v>
      </c>
      <c r="L3" s="43" t="s">
        <v>37</v>
      </c>
      <c r="M3" s="443" t="s">
        <v>84</v>
      </c>
      <c r="N3" s="444"/>
      <c r="O3" s="314">
        <f>+Resonance!Q3</f>
        <v>285.57600000000002</v>
      </c>
      <c r="P3" s="2"/>
    </row>
    <row r="4" spans="1:17" ht="13.9" customHeight="1">
      <c r="A4" s="3"/>
      <c r="B4" s="269" t="s">
        <v>77</v>
      </c>
      <c r="C4" s="269" t="s">
        <v>69</v>
      </c>
      <c r="D4" s="43" t="s">
        <v>36</v>
      </c>
      <c r="E4" s="74" t="s">
        <v>85</v>
      </c>
      <c r="F4" s="270" t="s">
        <v>85</v>
      </c>
      <c r="G4" s="269" t="s">
        <v>71</v>
      </c>
      <c r="H4" s="43" t="s">
        <v>46</v>
      </c>
      <c r="I4" s="47" t="s">
        <v>35</v>
      </c>
      <c r="J4" s="47" t="s">
        <v>33</v>
      </c>
      <c r="K4" s="268" t="s">
        <v>32</v>
      </c>
      <c r="L4" s="43" t="s">
        <v>10</v>
      </c>
      <c r="M4" s="44">
        <f>+Resonance!F21</f>
        <v>30</v>
      </c>
      <c r="N4" s="269" t="s">
        <v>20</v>
      </c>
      <c r="O4" s="82" t="s">
        <v>236</v>
      </c>
      <c r="P4" s="2"/>
    </row>
    <row r="5" spans="1:17" ht="13.9" customHeight="1" thickBot="1">
      <c r="A5" s="3"/>
      <c r="B5" s="16">
        <v>1</v>
      </c>
      <c r="C5" s="16">
        <v>10</v>
      </c>
      <c r="D5" s="67">
        <v>3.6</v>
      </c>
      <c r="E5" s="63">
        <f>+C5/B5</f>
        <v>10</v>
      </c>
      <c r="F5" s="69">
        <v>42</v>
      </c>
      <c r="G5" s="113">
        <f>+D5/C5</f>
        <v>0.36</v>
      </c>
      <c r="H5" s="70">
        <v>1.8</v>
      </c>
      <c r="I5" s="52">
        <f>4*PI()*10^-7</f>
        <v>1.2566370614359173E-6</v>
      </c>
      <c r="J5" s="48">
        <f>+PI()*(B5/2)^2</f>
        <v>0.78539816339744828</v>
      </c>
      <c r="K5" s="49">
        <v>131</v>
      </c>
      <c r="L5" s="105">
        <f>+Resonance!E21</f>
        <v>0.25459999999999999</v>
      </c>
      <c r="M5" s="264"/>
      <c r="N5" s="51"/>
      <c r="O5" s="83">
        <f>+Resonance!O15</f>
        <v>0.122</v>
      </c>
      <c r="P5" s="2"/>
    </row>
    <row r="6" spans="1:17" ht="13.9" customHeight="1" thickBot="1">
      <c r="A6" s="429" t="s">
        <v>113</v>
      </c>
      <c r="B6" s="430"/>
      <c r="C6" s="68">
        <v>1.26</v>
      </c>
      <c r="D6" s="62" t="s">
        <v>34</v>
      </c>
      <c r="E6" s="396" t="str">
        <f>+Resonance!K65</f>
        <v>The diameter of the enamelled Copper wire is the effective diameter.</v>
      </c>
      <c r="F6" s="396"/>
      <c r="G6" s="396"/>
      <c r="H6" s="396"/>
      <c r="I6" s="396"/>
      <c r="J6" s="397"/>
      <c r="K6" s="264">
        <f>+Resonance!D21</f>
        <v>0.03</v>
      </c>
      <c r="L6" s="60" t="s">
        <v>10</v>
      </c>
      <c r="M6" s="440" t="s">
        <v>111</v>
      </c>
      <c r="N6" s="413"/>
      <c r="O6" s="414"/>
      <c r="P6" s="2"/>
    </row>
    <row r="7" spans="1:17" ht="13.9" customHeight="1" thickBot="1">
      <c r="A7" s="415" t="s">
        <v>92</v>
      </c>
      <c r="B7" s="416"/>
      <c r="C7" s="45">
        <v>110</v>
      </c>
      <c r="D7" s="61" t="s">
        <v>94</v>
      </c>
      <c r="E7" s="431" t="s">
        <v>110</v>
      </c>
      <c r="F7" s="431"/>
      <c r="G7" s="431"/>
      <c r="H7" s="431"/>
      <c r="I7" s="431"/>
      <c r="J7" s="432"/>
      <c r="K7" s="58">
        <f>+(K5*(L5+K6)/10)</f>
        <v>3.7282599999999997</v>
      </c>
      <c r="L7" s="57" t="s">
        <v>34</v>
      </c>
      <c r="M7" s="440" t="s">
        <v>108</v>
      </c>
      <c r="N7" s="413"/>
      <c r="O7" s="414"/>
      <c r="P7" s="2"/>
    </row>
    <row r="8" spans="1:17" ht="13.9" customHeight="1" thickBot="1">
      <c r="A8" s="417" t="s">
        <v>128</v>
      </c>
      <c r="B8" s="418"/>
      <c r="C8" s="418"/>
      <c r="D8" s="418"/>
      <c r="E8" s="445"/>
      <c r="F8" s="446">
        <f>H5*I5*F5*(K5^2*J5/C5)*10^4</f>
        <v>1280.4544453208341</v>
      </c>
      <c r="G8" s="445" t="s">
        <v>76</v>
      </c>
      <c r="H8" s="448" t="s">
        <v>75</v>
      </c>
      <c r="I8" s="448"/>
      <c r="J8" s="449"/>
      <c r="K8" s="78">
        <f>+K7/D5</f>
        <v>1.0356277777777776</v>
      </c>
      <c r="L8" s="77"/>
      <c r="M8" s="441" t="s">
        <v>90</v>
      </c>
      <c r="N8" s="441"/>
      <c r="O8" s="442"/>
      <c r="P8" s="2"/>
    </row>
    <row r="9" spans="1:17" ht="13.9" customHeight="1" thickBot="1">
      <c r="A9" s="419"/>
      <c r="B9" s="420"/>
      <c r="C9" s="420"/>
      <c r="D9" s="420"/>
      <c r="E9" s="420"/>
      <c r="F9" s="447"/>
      <c r="G9" s="420"/>
      <c r="H9" s="427"/>
      <c r="I9" s="427"/>
      <c r="J9" s="428"/>
      <c r="K9" s="58">
        <f>+K5*B26/100+0.2</f>
        <v>5.5068125418273528</v>
      </c>
      <c r="L9" s="267" t="s">
        <v>91</v>
      </c>
      <c r="M9" s="440" t="s">
        <v>237</v>
      </c>
      <c r="N9" s="413"/>
      <c r="O9" s="414"/>
      <c r="P9" s="2"/>
    </row>
    <row r="10" spans="1:17" ht="24" customHeight="1" thickBot="1">
      <c r="A10" s="450" t="s">
        <v>157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2"/>
      <c r="P10" s="2"/>
      <c r="Q10" s="320"/>
    </row>
    <row r="11" spans="1:17" ht="13.9" customHeight="1">
      <c r="A11" s="456" t="s">
        <v>63</v>
      </c>
      <c r="B11" s="457"/>
      <c r="C11" s="457"/>
      <c r="D11" s="458"/>
      <c r="E11" s="453" t="s">
        <v>89</v>
      </c>
      <c r="F11" s="454"/>
      <c r="G11" s="454"/>
      <c r="H11" s="455"/>
      <c r="I11" s="55" t="s">
        <v>30</v>
      </c>
      <c r="J11" s="53" t="s">
        <v>109</v>
      </c>
      <c r="K11" s="54"/>
      <c r="L11" s="62" t="s">
        <v>112</v>
      </c>
      <c r="M11" s="11"/>
      <c r="N11" s="12"/>
      <c r="O11" s="62" t="s">
        <v>132</v>
      </c>
      <c r="P11" s="2"/>
    </row>
    <row r="12" spans="1:17" ht="13.9" customHeight="1">
      <c r="A12" s="268" t="s">
        <v>64</v>
      </c>
      <c r="B12" s="269" t="s">
        <v>65</v>
      </c>
      <c r="C12" s="269" t="s">
        <v>66</v>
      </c>
      <c r="D12" s="43" t="s">
        <v>41</v>
      </c>
      <c r="E12" s="268" t="s">
        <v>78</v>
      </c>
      <c r="F12" s="269" t="s">
        <v>31</v>
      </c>
      <c r="G12" s="269" t="s">
        <v>42</v>
      </c>
      <c r="H12" s="43" t="s">
        <v>45</v>
      </c>
      <c r="I12" s="46" t="s">
        <v>79</v>
      </c>
      <c r="J12" s="47" t="s">
        <v>73</v>
      </c>
      <c r="K12" s="268" t="s">
        <v>43</v>
      </c>
      <c r="L12" s="43" t="s">
        <v>37</v>
      </c>
      <c r="M12" s="443" t="s">
        <v>84</v>
      </c>
      <c r="N12" s="444"/>
      <c r="O12" s="75">
        <f>+O3</f>
        <v>285.57600000000002</v>
      </c>
      <c r="P12" s="2"/>
    </row>
    <row r="13" spans="1:17" ht="13.9" customHeight="1">
      <c r="A13" s="268" t="s">
        <v>67</v>
      </c>
      <c r="B13" s="269" t="s">
        <v>68</v>
      </c>
      <c r="C13" s="269" t="s">
        <v>70</v>
      </c>
      <c r="D13" s="43" t="s">
        <v>36</v>
      </c>
      <c r="E13" s="268" t="s">
        <v>85</v>
      </c>
      <c r="F13" s="269" t="s">
        <v>85</v>
      </c>
      <c r="G13" s="269" t="s">
        <v>72</v>
      </c>
      <c r="H13" s="43" t="s">
        <v>46</v>
      </c>
      <c r="I13" s="47" t="s">
        <v>35</v>
      </c>
      <c r="J13" s="47" t="s">
        <v>33</v>
      </c>
      <c r="K13" s="268" t="s">
        <v>32</v>
      </c>
      <c r="L13" s="43" t="s">
        <v>10</v>
      </c>
      <c r="M13" s="268">
        <f>+Resonance!F21</f>
        <v>30</v>
      </c>
      <c r="N13" s="269" t="s">
        <v>20</v>
      </c>
      <c r="O13" s="82" t="str">
        <f>+O4</f>
        <v>Skin depth 63% mm</v>
      </c>
      <c r="P13" s="2"/>
    </row>
    <row r="14" spans="1:17" ht="13.9" customHeight="1" thickBot="1">
      <c r="A14" s="73">
        <v>0.77</v>
      </c>
      <c r="B14" s="16">
        <v>0.28499999999999998</v>
      </c>
      <c r="C14" s="16">
        <v>5</v>
      </c>
      <c r="D14" s="67">
        <v>1.6</v>
      </c>
      <c r="E14" s="63">
        <f>+C14/(((2*A14)+(2*B14))/PI())</f>
        <v>7.4445323544781825</v>
      </c>
      <c r="F14" s="69">
        <v>40</v>
      </c>
      <c r="G14" s="76">
        <f>+D14/C14</f>
        <v>0.32</v>
      </c>
      <c r="H14" s="79">
        <v>2</v>
      </c>
      <c r="I14" s="52">
        <f>4*PI()*10^-7</f>
        <v>1.2566370614359173E-6</v>
      </c>
      <c r="J14" s="48">
        <f>+A14*B14</f>
        <v>0.21944999999999998</v>
      </c>
      <c r="K14" s="49">
        <v>172</v>
      </c>
      <c r="L14" s="105">
        <f>+Resonance!E21</f>
        <v>0.25459999999999999</v>
      </c>
      <c r="M14" s="50"/>
      <c r="N14" s="51"/>
      <c r="O14" s="83">
        <f>+O5</f>
        <v>0.122</v>
      </c>
      <c r="P14" s="2"/>
    </row>
    <row r="15" spans="1:17" ht="13.9" customHeight="1" thickBot="1">
      <c r="A15" s="429" t="s">
        <v>119</v>
      </c>
      <c r="B15" s="430"/>
      <c r="C15" s="80">
        <f>+B22</f>
        <v>0.67163385984779833</v>
      </c>
      <c r="D15" s="62" t="s">
        <v>34</v>
      </c>
      <c r="E15" s="396" t="str">
        <f>+Resonance!K65</f>
        <v>The diameter of the enamelled Copper wire is the effective diameter.</v>
      </c>
      <c r="F15" s="396"/>
      <c r="G15" s="396"/>
      <c r="H15" s="396"/>
      <c r="I15" s="396"/>
      <c r="J15" s="397"/>
      <c r="K15" s="264">
        <f>+Resonance!D21</f>
        <v>0.03</v>
      </c>
      <c r="L15" s="60" t="s">
        <v>10</v>
      </c>
      <c r="M15" s="440" t="s">
        <v>111</v>
      </c>
      <c r="N15" s="413"/>
      <c r="O15" s="414"/>
      <c r="P15" s="2"/>
    </row>
    <row r="16" spans="1:17" ht="13.9" customHeight="1" thickBot="1">
      <c r="A16" s="415" t="s">
        <v>93</v>
      </c>
      <c r="B16" s="416"/>
      <c r="C16" s="45">
        <v>110</v>
      </c>
      <c r="D16" s="61" t="s">
        <v>94</v>
      </c>
      <c r="E16" s="431" t="s">
        <v>110</v>
      </c>
      <c r="F16" s="431"/>
      <c r="G16" s="431"/>
      <c r="H16" s="431"/>
      <c r="I16" s="431"/>
      <c r="J16" s="432"/>
      <c r="K16" s="58">
        <f>+K14*L14/10</f>
        <v>4.3791199999999995</v>
      </c>
      <c r="L16" s="57" t="s">
        <v>34</v>
      </c>
      <c r="M16" s="440" t="s">
        <v>108</v>
      </c>
      <c r="N16" s="413"/>
      <c r="O16" s="414"/>
      <c r="P16" s="2"/>
    </row>
    <row r="17" spans="1:16" ht="13.9" customHeight="1" thickBot="1">
      <c r="A17" s="417" t="s">
        <v>129</v>
      </c>
      <c r="B17" s="418"/>
      <c r="C17" s="418"/>
      <c r="D17" s="418"/>
      <c r="E17" s="418"/>
      <c r="F17" s="421">
        <f>H14*I14*F14*(K14^2*J14/C14)*10^4</f>
        <v>1305.3360301856644</v>
      </c>
      <c r="G17" s="418" t="s">
        <v>76</v>
      </c>
      <c r="H17" s="425" t="s">
        <v>74</v>
      </c>
      <c r="I17" s="425"/>
      <c r="J17" s="426"/>
      <c r="K17" s="78">
        <f>+K16/D14</f>
        <v>2.7369499999999993</v>
      </c>
      <c r="L17" s="77"/>
      <c r="M17" s="441" t="s">
        <v>90</v>
      </c>
      <c r="N17" s="441"/>
      <c r="O17" s="442"/>
      <c r="P17" s="2"/>
    </row>
    <row r="18" spans="1:16" ht="13.9" customHeight="1" thickBot="1">
      <c r="A18" s="419"/>
      <c r="B18" s="420"/>
      <c r="C18" s="420"/>
      <c r="D18" s="420"/>
      <c r="E18" s="420"/>
      <c r="F18" s="422"/>
      <c r="G18" s="420"/>
      <c r="H18" s="427"/>
      <c r="I18" s="427"/>
      <c r="J18" s="428"/>
      <c r="K18" s="58">
        <f>+K14*B30/100+0.2</f>
        <v>4.2501011176066408</v>
      </c>
      <c r="L18" s="267" t="s">
        <v>91</v>
      </c>
      <c r="M18" s="413" t="str">
        <f>+M9</f>
        <v>Length of wire incl. 20 cm connection leads</v>
      </c>
      <c r="N18" s="413"/>
      <c r="O18" s="414"/>
      <c r="P18" s="2"/>
    </row>
    <row r="19" spans="1:16" ht="13.9" customHeight="1">
      <c r="A19" s="433" t="s">
        <v>88</v>
      </c>
      <c r="B19" s="434"/>
      <c r="C19" s="434"/>
      <c r="D19" s="12"/>
      <c r="E19" s="12"/>
      <c r="F19" s="30"/>
      <c r="G19" s="12"/>
      <c r="H19" s="12"/>
      <c r="I19" s="12"/>
      <c r="J19" s="12"/>
      <c r="K19" s="12"/>
      <c r="L19" s="12"/>
      <c r="M19" s="12"/>
      <c r="N19" s="12"/>
      <c r="O19" s="13"/>
      <c r="P19" s="2"/>
    </row>
    <row r="20" spans="1:16" ht="13.9" customHeight="1">
      <c r="A20" s="29" t="s">
        <v>86</v>
      </c>
      <c r="B20" s="64">
        <f>+B5*PI()</f>
        <v>3.1415926535897931</v>
      </c>
      <c r="C20" s="39" t="s">
        <v>34</v>
      </c>
      <c r="D20" s="274"/>
      <c r="E20" s="274"/>
      <c r="F20" s="19"/>
      <c r="G20" s="271"/>
      <c r="H20" s="274"/>
      <c r="I20" s="274"/>
      <c r="J20" s="435" t="s">
        <v>96</v>
      </c>
      <c r="K20" s="436"/>
      <c r="L20" s="436"/>
      <c r="M20" s="436"/>
      <c r="N20" s="436"/>
      <c r="O20" s="437"/>
      <c r="P20" s="2"/>
    </row>
    <row r="21" spans="1:16" ht="13.9" customHeight="1">
      <c r="A21" s="29" t="s">
        <v>87</v>
      </c>
      <c r="B21" s="56">
        <f>+(2*A14+2*B14)</f>
        <v>2.11</v>
      </c>
      <c r="C21" s="39" t="s">
        <v>34</v>
      </c>
      <c r="D21" s="19"/>
      <c r="E21" s="274"/>
      <c r="F21" s="39"/>
      <c r="G21" s="271"/>
      <c r="H21" s="19"/>
      <c r="I21" s="274"/>
      <c r="J21" s="438" t="s">
        <v>97</v>
      </c>
      <c r="K21" s="438"/>
      <c r="L21" s="438"/>
      <c r="M21" s="438"/>
      <c r="N21" s="438"/>
      <c r="O21" s="439"/>
      <c r="P21" s="2"/>
    </row>
    <row r="22" spans="1:16" ht="13.9" customHeight="1">
      <c r="A22" s="65" t="s">
        <v>120</v>
      </c>
      <c r="B22" s="56">
        <f>+B21/PI()</f>
        <v>0.67163385984779833</v>
      </c>
      <c r="C22" s="39" t="s">
        <v>34</v>
      </c>
      <c r="D22" s="19"/>
      <c r="E22" s="274"/>
      <c r="F22" s="39"/>
      <c r="G22" s="271"/>
      <c r="H22" s="19"/>
      <c r="I22" s="274"/>
      <c r="J22" s="438" t="s">
        <v>95</v>
      </c>
      <c r="K22" s="438"/>
      <c r="L22" s="438"/>
      <c r="M22" s="438"/>
      <c r="N22" s="438"/>
      <c r="O22" s="439"/>
      <c r="P22" s="2"/>
    </row>
    <row r="23" spans="1:16" ht="13.9" customHeight="1">
      <c r="A23" s="423" t="s">
        <v>117</v>
      </c>
      <c r="B23" s="394"/>
      <c r="C23" s="394"/>
      <c r="D23" s="274"/>
      <c r="E23" s="274"/>
      <c r="F23" s="19"/>
      <c r="G23" s="9"/>
      <c r="H23" s="274"/>
      <c r="I23" s="274"/>
      <c r="J23" s="438" t="s">
        <v>238</v>
      </c>
      <c r="K23" s="438"/>
      <c r="L23" s="438"/>
      <c r="M23" s="438"/>
      <c r="N23" s="438"/>
      <c r="O23" s="439"/>
      <c r="P23" s="2"/>
    </row>
    <row r="24" spans="1:16" ht="13.9" customHeight="1">
      <c r="A24" s="65" t="s">
        <v>114</v>
      </c>
      <c r="B24" s="56">
        <f>+C6*PI()</f>
        <v>3.9584067435231391</v>
      </c>
      <c r="C24" s="265" t="s">
        <v>34</v>
      </c>
      <c r="D24" s="19"/>
      <c r="E24" s="274"/>
      <c r="F24" s="39"/>
      <c r="G24" s="271"/>
      <c r="H24" s="19"/>
      <c r="I24" s="274"/>
      <c r="J24" s="318" t="s">
        <v>98</v>
      </c>
      <c r="K24" s="318"/>
      <c r="L24" s="318"/>
      <c r="M24" s="318"/>
      <c r="N24" s="318"/>
      <c r="O24" s="241"/>
      <c r="P24" s="2"/>
    </row>
    <row r="25" spans="1:16" ht="13.9" customHeight="1">
      <c r="A25" s="65" t="s">
        <v>115</v>
      </c>
      <c r="B25" s="56">
        <f>+(C6+((L5+K6)/10)*K8*2)*PI()</f>
        <v>4.1435971371293085</v>
      </c>
      <c r="C25" s="66" t="s">
        <v>34</v>
      </c>
      <c r="D25" s="39"/>
      <c r="E25" s="274"/>
      <c r="F25" s="19"/>
      <c r="G25" s="38"/>
      <c r="H25" s="39"/>
      <c r="I25" s="274"/>
      <c r="J25" s="318" t="s">
        <v>99</v>
      </c>
      <c r="K25" s="8"/>
      <c r="L25" s="8"/>
      <c r="M25" s="8"/>
      <c r="N25" s="8"/>
      <c r="O25" s="319"/>
      <c r="P25" s="2"/>
    </row>
    <row r="26" spans="1:16" ht="13.9" customHeight="1">
      <c r="A26" s="65" t="s">
        <v>116</v>
      </c>
      <c r="B26" s="56">
        <f>SUM(B24:B25)/2</f>
        <v>4.0510019403262234</v>
      </c>
      <c r="C26" s="265" t="s">
        <v>34</v>
      </c>
      <c r="D26" s="274"/>
      <c r="E26" s="274"/>
      <c r="F26" s="19"/>
      <c r="G26" s="40"/>
      <c r="H26" s="274"/>
      <c r="I26" s="274"/>
      <c r="J26" s="190"/>
      <c r="K26" s="8"/>
      <c r="L26" s="8"/>
      <c r="M26" s="8"/>
      <c r="N26" s="8"/>
      <c r="O26" s="319"/>
      <c r="P26" s="2"/>
    </row>
    <row r="27" spans="1:16" ht="13.9" customHeight="1">
      <c r="A27" s="423" t="s">
        <v>118</v>
      </c>
      <c r="B27" s="394"/>
      <c r="C27" s="394"/>
      <c r="D27" s="19"/>
      <c r="E27" s="274"/>
      <c r="F27" s="19"/>
      <c r="G27" s="271"/>
      <c r="H27" s="19"/>
      <c r="I27" s="274"/>
      <c r="J27" s="318" t="s">
        <v>100</v>
      </c>
      <c r="K27" s="8"/>
      <c r="L27" s="8"/>
      <c r="M27" s="8"/>
      <c r="N27" s="8"/>
      <c r="O27" s="319"/>
      <c r="P27" s="2"/>
    </row>
    <row r="28" spans="1:16" ht="13.9" customHeight="1">
      <c r="A28" s="65" t="s">
        <v>114</v>
      </c>
      <c r="B28" s="56">
        <f>+B21</f>
        <v>2.11</v>
      </c>
      <c r="C28" s="265" t="s">
        <v>34</v>
      </c>
      <c r="D28" s="274"/>
      <c r="E28" s="274"/>
      <c r="F28" s="19"/>
      <c r="G28" s="271"/>
      <c r="H28" s="274"/>
      <c r="I28" s="274"/>
      <c r="J28" s="318" t="s">
        <v>101</v>
      </c>
      <c r="K28" s="8"/>
      <c r="L28" s="8"/>
      <c r="M28" s="8"/>
      <c r="N28" s="8"/>
      <c r="O28" s="319"/>
      <c r="P28" s="2"/>
    </row>
    <row r="29" spans="1:16" ht="13.9" customHeight="1">
      <c r="A29" s="65" t="s">
        <v>115</v>
      </c>
      <c r="B29" s="56">
        <f>+(C15+((L14+K15)/10)*K17*2)*PI()</f>
        <v>2.5994199041937676</v>
      </c>
      <c r="C29" s="265" t="s">
        <v>34</v>
      </c>
      <c r="D29" s="274"/>
      <c r="E29" s="274"/>
      <c r="F29" s="19"/>
      <c r="G29" s="271"/>
      <c r="H29" s="274"/>
      <c r="I29" s="274"/>
      <c r="J29" s="318" t="s">
        <v>102</v>
      </c>
      <c r="K29" s="8"/>
      <c r="L29" s="8"/>
      <c r="M29" s="8"/>
      <c r="N29" s="8"/>
      <c r="O29" s="319"/>
      <c r="P29" s="2"/>
    </row>
    <row r="30" spans="1:16" ht="13.9" customHeight="1">
      <c r="A30" s="65" t="s">
        <v>116</v>
      </c>
      <c r="B30" s="56">
        <f>SUM(B28:B29)/2</f>
        <v>2.3547099520968837</v>
      </c>
      <c r="C30" s="265" t="s">
        <v>34</v>
      </c>
      <c r="D30" s="274"/>
      <c r="E30" s="274"/>
      <c r="F30" s="39"/>
      <c r="G30" s="41"/>
      <c r="H30" s="274"/>
      <c r="I30" s="274"/>
      <c r="J30" s="318" t="s">
        <v>103</v>
      </c>
      <c r="K30" s="8"/>
      <c r="L30" s="8"/>
      <c r="M30" s="8"/>
      <c r="N30" s="8"/>
      <c r="O30" s="319"/>
      <c r="P30" s="2"/>
    </row>
    <row r="31" spans="1:16" ht="13.9" customHeight="1">
      <c r="A31" s="3"/>
      <c r="B31" s="39"/>
      <c r="C31" s="40"/>
      <c r="D31" s="19"/>
      <c r="E31" s="274"/>
      <c r="F31" s="39"/>
      <c r="G31" s="40"/>
      <c r="H31" s="19"/>
      <c r="I31" s="274"/>
      <c r="J31" s="318" t="s">
        <v>104</v>
      </c>
      <c r="K31" s="8"/>
      <c r="L31" s="8"/>
      <c r="M31" s="8"/>
      <c r="N31" s="8"/>
      <c r="O31" s="319"/>
      <c r="P31" s="2"/>
    </row>
    <row r="32" spans="1:16" ht="13.9" customHeight="1">
      <c r="A32" s="3"/>
      <c r="B32" s="19"/>
      <c r="C32" s="9"/>
      <c r="D32" s="19"/>
      <c r="E32" s="274"/>
      <c r="F32" s="19"/>
      <c r="G32" s="9"/>
      <c r="H32" s="19"/>
      <c r="I32" s="274"/>
      <c r="J32" s="318" t="s">
        <v>105</v>
      </c>
      <c r="K32" s="8"/>
      <c r="L32" s="8"/>
      <c r="M32" s="8"/>
      <c r="N32" s="8"/>
      <c r="O32" s="319"/>
      <c r="P32" s="2"/>
    </row>
    <row r="33" spans="1:16" ht="13.9" customHeight="1">
      <c r="A33" s="3"/>
      <c r="B33" s="274"/>
      <c r="C33" s="271"/>
      <c r="D33" s="274"/>
      <c r="E33" s="274"/>
      <c r="F33" s="274"/>
      <c r="G33" s="274"/>
      <c r="H33" s="274"/>
      <c r="I33" s="274"/>
      <c r="J33" s="318" t="s">
        <v>106</v>
      </c>
      <c r="K33" s="8"/>
      <c r="L33" s="8"/>
      <c r="M33" s="8"/>
      <c r="N33" s="8"/>
      <c r="O33" s="319"/>
      <c r="P33" s="2"/>
    </row>
    <row r="34" spans="1:16">
      <c r="A34" s="3"/>
      <c r="B34" s="274"/>
      <c r="C34" s="271"/>
      <c r="D34" s="274"/>
      <c r="E34" s="274"/>
      <c r="F34" s="274"/>
      <c r="G34" s="274"/>
      <c r="H34" s="274"/>
      <c r="I34" s="274"/>
      <c r="J34" s="318" t="s">
        <v>107</v>
      </c>
      <c r="K34" s="8"/>
      <c r="L34" s="8"/>
      <c r="M34" s="8"/>
      <c r="N34" s="8"/>
      <c r="O34" s="319"/>
      <c r="P34" s="2"/>
    </row>
    <row r="35" spans="1:16">
      <c r="A35" s="3"/>
      <c r="B35" s="274"/>
      <c r="C35" s="274"/>
      <c r="D35" s="274"/>
      <c r="E35" s="274"/>
      <c r="F35" s="274"/>
      <c r="G35" s="274"/>
      <c r="H35" s="274"/>
      <c r="I35" s="274"/>
      <c r="J35" s="190"/>
      <c r="K35" s="8"/>
      <c r="L35" s="8"/>
      <c r="M35" s="8"/>
      <c r="N35" s="8"/>
      <c r="O35" s="319"/>
      <c r="P35" s="2"/>
    </row>
    <row r="36" spans="1:16">
      <c r="A36" s="3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5"/>
      <c r="P36" s="2"/>
    </row>
    <row r="37" spans="1:16">
      <c r="A37" s="3"/>
      <c r="B37" s="274"/>
      <c r="C37" s="274"/>
      <c r="D37" s="274"/>
      <c r="E37" s="274"/>
      <c r="F37" s="274"/>
      <c r="G37" s="274"/>
      <c r="H37" s="274"/>
      <c r="I37" s="274"/>
      <c r="J37" s="321" t="s">
        <v>121</v>
      </c>
      <c r="K37" s="71"/>
      <c r="L37" s="71"/>
      <c r="M37" s="71"/>
      <c r="N37" s="71"/>
      <c r="O37" s="89"/>
      <c r="P37" s="2"/>
    </row>
    <row r="38" spans="1:16">
      <c r="A38" s="3"/>
      <c r="B38" s="274"/>
      <c r="C38" s="274"/>
      <c r="D38" s="274"/>
      <c r="E38" s="274"/>
      <c r="F38" s="274"/>
      <c r="G38" s="274"/>
      <c r="H38" s="274"/>
      <c r="I38" s="274"/>
      <c r="J38" s="71"/>
      <c r="K38" s="71"/>
      <c r="L38" s="71"/>
      <c r="M38" s="71"/>
      <c r="N38" s="71"/>
      <c r="O38" s="89"/>
      <c r="P38" s="2"/>
    </row>
    <row r="39" spans="1:16">
      <c r="A39" s="3"/>
      <c r="B39" s="274"/>
      <c r="C39" s="274"/>
      <c r="D39" s="274"/>
      <c r="E39" s="274"/>
      <c r="F39" s="274"/>
      <c r="G39" s="274"/>
      <c r="H39" s="274"/>
      <c r="I39" s="274"/>
      <c r="J39" s="321" t="s">
        <v>122</v>
      </c>
      <c r="K39" s="71"/>
      <c r="L39" s="71"/>
      <c r="M39" s="71"/>
      <c r="N39" s="71"/>
      <c r="O39" s="89"/>
      <c r="P39" s="2"/>
    </row>
    <row r="40" spans="1:16">
      <c r="A40" s="3"/>
      <c r="B40" s="274"/>
      <c r="C40" s="274"/>
      <c r="D40" s="274"/>
      <c r="E40" s="274"/>
      <c r="F40" s="274"/>
      <c r="G40" s="274"/>
      <c r="H40" s="274"/>
      <c r="I40" s="274"/>
      <c r="J40" s="71"/>
      <c r="K40" s="71"/>
      <c r="L40" s="71"/>
      <c r="M40" s="71"/>
      <c r="N40" s="71"/>
      <c r="O40" s="89"/>
      <c r="P40" s="2"/>
    </row>
    <row r="41" spans="1:16">
      <c r="A41" s="3"/>
      <c r="B41" s="274"/>
      <c r="C41" s="274"/>
      <c r="D41" s="274"/>
      <c r="E41" s="274"/>
      <c r="F41" s="274"/>
      <c r="G41" s="274"/>
      <c r="H41" s="274"/>
      <c r="I41" s="274"/>
      <c r="J41" s="411" t="s">
        <v>125</v>
      </c>
      <c r="K41" s="411"/>
      <c r="L41" s="411"/>
      <c r="M41" s="411"/>
      <c r="N41" s="411"/>
      <c r="O41" s="412"/>
      <c r="P41" s="2"/>
    </row>
    <row r="42" spans="1:16">
      <c r="A42" s="3"/>
      <c r="B42" s="274"/>
      <c r="C42" s="274"/>
      <c r="D42" s="274"/>
      <c r="E42" s="274"/>
      <c r="F42" s="274"/>
      <c r="G42" s="274"/>
      <c r="H42" s="274"/>
      <c r="I42" s="274"/>
      <c r="J42" s="71"/>
      <c r="K42" s="71"/>
      <c r="L42" s="71"/>
      <c r="M42" s="71"/>
      <c r="N42" s="71"/>
      <c r="O42" s="89"/>
      <c r="P42" s="2"/>
    </row>
    <row r="43" spans="1:16">
      <c r="A43" s="3"/>
      <c r="B43" s="274"/>
      <c r="C43" s="274"/>
      <c r="D43" s="274"/>
      <c r="E43" s="274"/>
      <c r="F43" s="274"/>
      <c r="G43" s="274"/>
      <c r="H43" s="274"/>
      <c r="I43" s="274"/>
      <c r="J43" s="411" t="s">
        <v>126</v>
      </c>
      <c r="K43" s="411"/>
      <c r="L43" s="411"/>
      <c r="M43" s="411"/>
      <c r="N43" s="411"/>
      <c r="O43" s="412"/>
      <c r="P43" s="2"/>
    </row>
    <row r="44" spans="1:16">
      <c r="A44" s="3"/>
      <c r="B44" s="274"/>
      <c r="C44" s="274"/>
      <c r="D44" s="274"/>
      <c r="E44" s="274"/>
      <c r="F44" s="274"/>
      <c r="G44" s="274"/>
      <c r="H44" s="274"/>
      <c r="I44" s="274"/>
      <c r="J44" s="154"/>
      <c r="K44" s="71"/>
      <c r="L44" s="71"/>
      <c r="M44" s="71"/>
      <c r="N44" s="71"/>
      <c r="O44" s="89"/>
      <c r="P44" s="2"/>
    </row>
    <row r="45" spans="1:16">
      <c r="A45" s="3"/>
      <c r="B45" s="274"/>
      <c r="C45" s="274"/>
      <c r="D45" s="274"/>
      <c r="E45" s="274"/>
      <c r="F45" s="274"/>
      <c r="G45" s="274"/>
      <c r="H45" s="274"/>
      <c r="I45" s="274"/>
      <c r="J45" s="411" t="s">
        <v>127</v>
      </c>
      <c r="K45" s="411"/>
      <c r="L45" s="411"/>
      <c r="M45" s="411"/>
      <c r="N45" s="411"/>
      <c r="O45" s="412"/>
      <c r="P45" s="2"/>
    </row>
    <row r="46" spans="1:16">
      <c r="A46" s="3"/>
      <c r="B46" s="274"/>
      <c r="C46" s="274"/>
      <c r="D46" s="274"/>
      <c r="E46" s="274"/>
      <c r="F46" s="274"/>
      <c r="G46" s="274"/>
      <c r="H46" s="274"/>
      <c r="I46" s="274"/>
      <c r="J46" s="71"/>
      <c r="K46" s="71"/>
      <c r="L46" s="71"/>
      <c r="M46" s="71"/>
      <c r="N46" s="71"/>
      <c r="O46" s="89"/>
      <c r="P46" s="2"/>
    </row>
    <row r="47" spans="1:16">
      <c r="A47" s="3"/>
      <c r="B47" s="274"/>
      <c r="C47" s="274"/>
      <c r="D47" s="274"/>
      <c r="E47" s="274"/>
      <c r="F47" s="274"/>
      <c r="G47" s="274"/>
      <c r="H47" s="274"/>
      <c r="I47" s="274"/>
      <c r="J47" s="394" t="s">
        <v>124</v>
      </c>
      <c r="K47" s="394"/>
      <c r="L47" s="394"/>
      <c r="M47" s="394"/>
      <c r="N47" s="394"/>
      <c r="O47" s="424"/>
      <c r="P47" s="2"/>
    </row>
    <row r="48" spans="1:16">
      <c r="A48" s="3"/>
      <c r="B48" s="274"/>
      <c r="C48" s="274"/>
      <c r="D48" s="274"/>
      <c r="E48" s="274"/>
      <c r="F48" s="274"/>
      <c r="G48" s="274"/>
      <c r="H48" s="274"/>
      <c r="I48" s="274"/>
      <c r="J48" s="71"/>
      <c r="K48" s="71"/>
      <c r="L48" s="71"/>
      <c r="M48" s="71"/>
      <c r="N48" s="71"/>
      <c r="O48" s="89"/>
      <c r="P48" s="2"/>
    </row>
    <row r="49" spans="1:16" ht="15">
      <c r="A49" s="3"/>
      <c r="B49" s="274"/>
      <c r="C49" s="274"/>
      <c r="D49" s="274"/>
      <c r="E49" s="274"/>
      <c r="F49" s="274"/>
      <c r="G49" s="274"/>
      <c r="H49" s="274"/>
      <c r="I49" s="274"/>
      <c r="J49" s="410"/>
      <c r="K49" s="410"/>
      <c r="L49" s="410"/>
      <c r="M49" s="410"/>
      <c r="N49" s="410"/>
      <c r="O49" s="383"/>
      <c r="P49" s="2"/>
    </row>
    <row r="50" spans="1:16">
      <c r="A50" s="3"/>
      <c r="B50" s="274"/>
      <c r="C50" s="274"/>
      <c r="D50" s="274"/>
      <c r="E50" s="274"/>
      <c r="F50" s="274"/>
      <c r="G50" s="274"/>
      <c r="H50" s="274"/>
      <c r="I50" s="274"/>
      <c r="J50" s="377"/>
      <c r="K50" s="71"/>
      <c r="L50" s="71"/>
      <c r="M50" s="71"/>
      <c r="N50" s="71"/>
      <c r="O50" s="89"/>
      <c r="P50" s="2"/>
    </row>
    <row r="51" spans="1:16" ht="15.6" customHeight="1">
      <c r="A51" s="3"/>
      <c r="B51" s="274"/>
      <c r="C51" s="274"/>
      <c r="D51" s="274"/>
      <c r="E51" s="274"/>
      <c r="F51" s="274"/>
      <c r="G51" s="274"/>
      <c r="H51" s="274"/>
      <c r="I51" s="274"/>
      <c r="J51" s="410" t="s">
        <v>258</v>
      </c>
      <c r="K51" s="410"/>
      <c r="L51" s="410"/>
      <c r="M51" s="410"/>
      <c r="N51" s="410"/>
      <c r="O51" s="383"/>
      <c r="P51" s="2"/>
    </row>
    <row r="52" spans="1:16" ht="13.15" customHeight="1">
      <c r="A52" s="3"/>
      <c r="B52" s="274"/>
      <c r="C52" s="274"/>
      <c r="D52" s="274"/>
      <c r="E52" s="274"/>
      <c r="F52" s="274"/>
      <c r="G52" s="274"/>
      <c r="H52" s="274"/>
      <c r="I52" s="274"/>
      <c r="J52" s="377"/>
      <c r="K52" s="136"/>
      <c r="L52" s="136"/>
      <c r="M52" s="136"/>
      <c r="N52" s="136"/>
      <c r="O52" s="376"/>
      <c r="P52" s="2"/>
    </row>
    <row r="53" spans="1:16" ht="15">
      <c r="A53" s="3"/>
      <c r="B53" s="274"/>
      <c r="C53" s="274"/>
      <c r="D53" s="274"/>
      <c r="E53" s="274"/>
      <c r="F53" s="274"/>
      <c r="G53" s="274"/>
      <c r="H53" s="274"/>
      <c r="I53" s="274"/>
      <c r="J53" s="408" t="s">
        <v>259</v>
      </c>
      <c r="K53" s="408"/>
      <c r="L53" s="408"/>
      <c r="M53" s="408"/>
      <c r="N53" s="408"/>
      <c r="O53" s="385"/>
      <c r="P53" s="2"/>
    </row>
    <row r="54" spans="1:16">
      <c r="A54" s="3"/>
      <c r="B54" s="274"/>
      <c r="C54" s="274"/>
      <c r="D54" s="274"/>
      <c r="E54" s="274"/>
      <c r="F54" s="274"/>
      <c r="G54" s="274"/>
      <c r="H54" s="274"/>
      <c r="I54" s="274"/>
      <c r="J54" s="377"/>
      <c r="K54" s="274"/>
      <c r="L54" s="274"/>
      <c r="M54" s="274"/>
      <c r="N54" s="274"/>
      <c r="O54" s="275"/>
      <c r="P54" s="2"/>
    </row>
    <row r="55" spans="1:16" ht="18.75">
      <c r="A55" s="3"/>
      <c r="B55" s="274"/>
      <c r="C55" s="274"/>
      <c r="D55" s="274"/>
      <c r="E55" s="274"/>
      <c r="F55" s="274"/>
      <c r="G55" s="274"/>
      <c r="H55" s="274"/>
      <c r="I55" s="274"/>
      <c r="J55" s="409" t="s">
        <v>260</v>
      </c>
      <c r="K55" s="409"/>
      <c r="L55" s="409"/>
      <c r="M55" s="409"/>
      <c r="N55" s="409"/>
      <c r="O55" s="387"/>
      <c r="P55" s="2"/>
    </row>
    <row r="56" spans="1:16">
      <c r="A56" s="3"/>
      <c r="B56" s="274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5"/>
      <c r="P56" s="2"/>
    </row>
    <row r="57" spans="1:16" ht="13.5" thickBot="1">
      <c r="A57" s="375" t="s">
        <v>15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378" t="s">
        <v>261</v>
      </c>
      <c r="P57" s="2"/>
    </row>
    <row r="58" spans="1:1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"/>
    </row>
    <row r="79" spans="1:16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"/>
    </row>
    <row r="80" spans="1:16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"/>
    </row>
    <row r="81" spans="1:1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"/>
    </row>
    <row r="82" spans="1:1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"/>
    </row>
    <row r="83" spans="1:1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"/>
    </row>
    <row r="84" spans="1:1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"/>
    </row>
    <row r="85" spans="1:16">
      <c r="P85" s="2"/>
    </row>
    <row r="86" spans="1:16">
      <c r="P86" s="2"/>
    </row>
    <row r="87" spans="1:16">
      <c r="P87" s="2"/>
    </row>
    <row r="88" spans="1:16">
      <c r="P88" s="2"/>
    </row>
    <row r="89" spans="1:16">
      <c r="P89" s="2"/>
    </row>
    <row r="90" spans="1:16">
      <c r="P90" s="2"/>
    </row>
    <row r="91" spans="1:16">
      <c r="P91" s="2"/>
    </row>
    <row r="92" spans="1:16">
      <c r="P92" s="2"/>
    </row>
    <row r="93" spans="1:16">
      <c r="P93" s="2"/>
    </row>
    <row r="94" spans="1:16">
      <c r="P94" s="2"/>
    </row>
    <row r="95" spans="1:16">
      <c r="P95" s="2"/>
    </row>
    <row r="96" spans="1:16">
      <c r="P96" s="2"/>
    </row>
    <row r="97" spans="16:16">
      <c r="P97" s="2"/>
    </row>
    <row r="98" spans="16:16">
      <c r="P98" s="2"/>
    </row>
    <row r="99" spans="16:16">
      <c r="P99" s="2"/>
    </row>
    <row r="100" spans="16:16">
      <c r="P100" s="2"/>
    </row>
    <row r="101" spans="16:16">
      <c r="P101" s="2"/>
    </row>
    <row r="102" spans="16:16">
      <c r="P102" s="2"/>
    </row>
    <row r="103" spans="16:16">
      <c r="P103" s="2"/>
    </row>
    <row r="104" spans="16:16">
      <c r="P104" s="2"/>
    </row>
    <row r="105" spans="16:16">
      <c r="P105" s="2"/>
    </row>
    <row r="106" spans="16:16">
      <c r="P106" s="2"/>
    </row>
    <row r="107" spans="16:16">
      <c r="P107" s="2"/>
    </row>
    <row r="108" spans="16:16">
      <c r="P108" s="2"/>
    </row>
    <row r="109" spans="16:16">
      <c r="P109" s="2"/>
    </row>
    <row r="110" spans="16:16">
      <c r="P110" s="2"/>
    </row>
    <row r="111" spans="16:16">
      <c r="P111" s="2"/>
    </row>
    <row r="112" spans="16:16">
      <c r="P112" s="2"/>
    </row>
    <row r="113" spans="16:16">
      <c r="P113" s="2"/>
    </row>
    <row r="114" spans="16:16">
      <c r="P114" s="2"/>
    </row>
    <row r="115" spans="16:16">
      <c r="P115" s="2"/>
    </row>
    <row r="116" spans="16:16">
      <c r="P116" s="2"/>
    </row>
    <row r="117" spans="16:16">
      <c r="P117" s="2"/>
    </row>
    <row r="118" spans="16:16">
      <c r="P118" s="2"/>
    </row>
    <row r="119" spans="16:16">
      <c r="P119" s="2"/>
    </row>
    <row r="120" spans="16:16">
      <c r="P120" s="2"/>
    </row>
    <row r="121" spans="16:16">
      <c r="P121" s="2"/>
    </row>
    <row r="122" spans="16:16">
      <c r="P122" s="2"/>
    </row>
    <row r="123" spans="16:16">
      <c r="P123" s="2"/>
    </row>
    <row r="124" spans="16:16">
      <c r="P124" s="2"/>
    </row>
    <row r="125" spans="16:16">
      <c r="P125" s="2"/>
    </row>
    <row r="126" spans="16:16">
      <c r="P126" s="2"/>
    </row>
    <row r="127" spans="16:16">
      <c r="P127" s="2"/>
    </row>
    <row r="128" spans="16:16">
      <c r="P128" s="2"/>
    </row>
    <row r="129" spans="16:16">
      <c r="P129" s="2"/>
    </row>
    <row r="130" spans="16:16">
      <c r="P130" s="2"/>
    </row>
    <row r="131" spans="16:16">
      <c r="P131" s="2"/>
    </row>
    <row r="132" spans="16:16">
      <c r="P132" s="2"/>
    </row>
    <row r="133" spans="16:16">
      <c r="P133" s="2"/>
    </row>
    <row r="134" spans="16:16">
      <c r="P134" s="2"/>
    </row>
    <row r="135" spans="16:16">
      <c r="P135" s="2"/>
    </row>
    <row r="136" spans="16:16">
      <c r="P136" s="2"/>
    </row>
    <row r="137" spans="16:16">
      <c r="P137" s="2"/>
    </row>
    <row r="138" spans="16:16">
      <c r="P138" s="2"/>
    </row>
    <row r="139" spans="16:16">
      <c r="P139" s="2"/>
    </row>
    <row r="140" spans="16:16">
      <c r="P140" s="2"/>
    </row>
    <row r="141" spans="16:16">
      <c r="P141" s="2"/>
    </row>
    <row r="142" spans="16:16">
      <c r="P142" s="2"/>
    </row>
    <row r="143" spans="16:16">
      <c r="P143" s="2"/>
    </row>
    <row r="144" spans="16:16">
      <c r="P144" s="2"/>
    </row>
    <row r="145" spans="16:16">
      <c r="P145" s="2"/>
    </row>
    <row r="146" spans="16:16">
      <c r="P146" s="2"/>
    </row>
    <row r="147" spans="16:16">
      <c r="P147" s="2"/>
    </row>
    <row r="148" spans="16:16">
      <c r="P148" s="2"/>
    </row>
    <row r="149" spans="16:16">
      <c r="P149" s="2"/>
    </row>
    <row r="150" spans="16:16">
      <c r="P150" s="2"/>
    </row>
    <row r="151" spans="16:16">
      <c r="P151" s="2"/>
    </row>
    <row r="152" spans="16:16">
      <c r="P152" s="2"/>
    </row>
    <row r="153" spans="16:16">
      <c r="P153" s="2"/>
    </row>
    <row r="154" spans="16:16">
      <c r="P154" s="2"/>
    </row>
    <row r="155" spans="16:16">
      <c r="P155" s="2"/>
    </row>
    <row r="156" spans="16:16">
      <c r="P156" s="2"/>
    </row>
    <row r="157" spans="16:16">
      <c r="P157" s="2"/>
    </row>
    <row r="158" spans="16:16">
      <c r="P158" s="2"/>
    </row>
    <row r="159" spans="16:16">
      <c r="P159" s="2"/>
    </row>
    <row r="160" spans="16:16">
      <c r="P160" s="2"/>
    </row>
    <row r="161" spans="16:16">
      <c r="P161" s="2"/>
    </row>
    <row r="162" spans="16:16">
      <c r="P162" s="2"/>
    </row>
    <row r="163" spans="16:16">
      <c r="P163" s="2"/>
    </row>
    <row r="164" spans="16:16">
      <c r="P164" s="2"/>
    </row>
    <row r="165" spans="16:16">
      <c r="P165" s="2"/>
    </row>
    <row r="166" spans="16:16">
      <c r="P166" s="2"/>
    </row>
    <row r="167" spans="16:16">
      <c r="P167" s="2"/>
    </row>
    <row r="168" spans="16:16">
      <c r="P168" s="2"/>
    </row>
    <row r="169" spans="16:16">
      <c r="P169" s="2"/>
    </row>
    <row r="170" spans="16:16">
      <c r="P170" s="2"/>
    </row>
    <row r="171" spans="16:16">
      <c r="P171" s="2"/>
    </row>
    <row r="172" spans="16:16">
      <c r="P172" s="2"/>
    </row>
    <row r="173" spans="16:16">
      <c r="P173" s="2"/>
    </row>
    <row r="174" spans="16:16">
      <c r="P174" s="2"/>
    </row>
    <row r="175" spans="16:16">
      <c r="P175" s="2"/>
    </row>
    <row r="176" spans="16:16">
      <c r="P176" s="2"/>
    </row>
    <row r="177" spans="16:16">
      <c r="P177" s="2"/>
    </row>
    <row r="178" spans="16:16">
      <c r="P178" s="2"/>
    </row>
    <row r="179" spans="16:16">
      <c r="P179" s="2"/>
    </row>
  </sheetData>
  <mergeCells count="47">
    <mergeCell ref="A6:B6"/>
    <mergeCell ref="G17:G18"/>
    <mergeCell ref="A1:O1"/>
    <mergeCell ref="E2:H2"/>
    <mergeCell ref="M3:N3"/>
    <mergeCell ref="E11:H11"/>
    <mergeCell ref="A10:O10"/>
    <mergeCell ref="A2:D2"/>
    <mergeCell ref="A11:D11"/>
    <mergeCell ref="E6:J6"/>
    <mergeCell ref="E7:J7"/>
    <mergeCell ref="M7:O7"/>
    <mergeCell ref="A8:E9"/>
    <mergeCell ref="F8:F9"/>
    <mergeCell ref="G8:G9"/>
    <mergeCell ref="H8:J9"/>
    <mergeCell ref="A7:B7"/>
    <mergeCell ref="M8:O8"/>
    <mergeCell ref="M12:N12"/>
    <mergeCell ref="M9:O9"/>
    <mergeCell ref="M15:O15"/>
    <mergeCell ref="M6:O6"/>
    <mergeCell ref="A27:C27"/>
    <mergeCell ref="H17:J18"/>
    <mergeCell ref="A15:B15"/>
    <mergeCell ref="E15:J15"/>
    <mergeCell ref="E16:J16"/>
    <mergeCell ref="A19:C19"/>
    <mergeCell ref="J20:O20"/>
    <mergeCell ref="J21:O21"/>
    <mergeCell ref="J23:O23"/>
    <mergeCell ref="J22:O22"/>
    <mergeCell ref="M16:O16"/>
    <mergeCell ref="M17:O17"/>
    <mergeCell ref="M18:O18"/>
    <mergeCell ref="A16:B16"/>
    <mergeCell ref="A17:E18"/>
    <mergeCell ref="F17:F18"/>
    <mergeCell ref="A23:C23"/>
    <mergeCell ref="J53:O53"/>
    <mergeCell ref="J55:O55"/>
    <mergeCell ref="J49:O49"/>
    <mergeCell ref="J41:O41"/>
    <mergeCell ref="J43:O43"/>
    <mergeCell ref="J45:O45"/>
    <mergeCell ref="J51:O51"/>
    <mergeCell ref="J47:O47"/>
  </mergeCells>
  <hyperlinks>
    <hyperlink ref="J53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2"/>
  <sheetViews>
    <sheetView zoomScaleNormal="100" workbookViewId="0">
      <selection activeCell="K47" sqref="K47"/>
    </sheetView>
  </sheetViews>
  <sheetFormatPr defaultColWidth="8.85546875" defaultRowHeight="12.75"/>
  <cols>
    <col min="1" max="8" width="9.7109375" style="1" customWidth="1"/>
    <col min="9" max="10" width="15.7109375" style="1" customWidth="1"/>
    <col min="11" max="12" width="11.7109375" style="1" customWidth="1"/>
    <col min="13" max="14" width="12.7109375" style="1" customWidth="1"/>
    <col min="15" max="15" width="10.7109375" style="1" customWidth="1"/>
    <col min="16" max="16" width="11.5703125" style="1" bestFit="1" customWidth="1"/>
    <col min="17" max="17" width="8.85546875" style="1"/>
    <col min="18" max="18" width="23.140625" style="1" customWidth="1"/>
    <col min="19" max="16384" width="8.85546875" style="1"/>
  </cols>
  <sheetData>
    <row r="1" spans="1:18" ht="22.15" customHeight="1">
      <c r="A1" s="465" t="str">
        <f>+Resonance!K41</f>
        <v>Skin effekt in Copper wire of an air coil [Resonance Sheet]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66"/>
    </row>
    <row r="2" spans="1:18" ht="14.65" customHeight="1">
      <c r="A2" s="87" t="s">
        <v>164</v>
      </c>
      <c r="B2" s="274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48"/>
    </row>
    <row r="3" spans="1:18" ht="14.65" customHeight="1">
      <c r="A3" s="87" t="s">
        <v>165</v>
      </c>
      <c r="B3" s="274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48"/>
    </row>
    <row r="4" spans="1:18" ht="14.65" customHeight="1">
      <c r="A4" s="87" t="s">
        <v>166</v>
      </c>
      <c r="B4" s="274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48"/>
    </row>
    <row r="5" spans="1:18" ht="14.65" customHeight="1">
      <c r="A5" s="87" t="s">
        <v>167</v>
      </c>
      <c r="B5" s="274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48"/>
    </row>
    <row r="6" spans="1:18" ht="14.65" customHeight="1">
      <c r="A6" s="87" t="s">
        <v>168</v>
      </c>
      <c r="B6" s="274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48"/>
    </row>
    <row r="7" spans="1:18" ht="14.65" customHeight="1">
      <c r="A7" s="87" t="s">
        <v>169</v>
      </c>
      <c r="B7" s="274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48"/>
    </row>
    <row r="8" spans="1:18" ht="14.65" customHeight="1">
      <c r="A8" s="87" t="s">
        <v>210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5"/>
    </row>
    <row r="9" spans="1:18" s="81" customFormat="1" ht="14.65" customHeight="1">
      <c r="A9" s="401" t="s">
        <v>142</v>
      </c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12"/>
    </row>
    <row r="10" spans="1:18" ht="14.65" customHeight="1">
      <c r="A10" s="242"/>
      <c r="B10" s="243"/>
      <c r="C10" s="243"/>
      <c r="D10" s="243"/>
      <c r="E10" s="243"/>
      <c r="F10" s="274"/>
      <c r="G10" s="274"/>
      <c r="H10" s="274"/>
      <c r="I10" s="274"/>
      <c r="J10" s="274"/>
      <c r="K10" s="71"/>
      <c r="L10" s="274"/>
      <c r="M10" s="459"/>
      <c r="N10" s="459"/>
      <c r="O10" s="274"/>
      <c r="P10" s="275"/>
    </row>
    <row r="11" spans="1:18" ht="14.65" customHeight="1">
      <c r="A11" s="467" t="s">
        <v>84</v>
      </c>
      <c r="B11" s="468"/>
      <c r="C11" s="468" t="s">
        <v>136</v>
      </c>
      <c r="D11" s="468"/>
      <c r="E11" s="469" t="s">
        <v>137</v>
      </c>
      <c r="F11" s="469"/>
      <c r="G11" s="468" t="s">
        <v>138</v>
      </c>
      <c r="H11" s="468"/>
      <c r="I11" s="469" t="str">
        <f>+Resonance!K22</f>
        <v>δ = Skin depth at 77,5 kHz</v>
      </c>
      <c r="J11" s="469"/>
      <c r="K11" s="468" t="s">
        <v>178</v>
      </c>
      <c r="L11" s="468"/>
      <c r="M11" s="472" t="str">
        <f>+Resonance!K25</f>
        <v>DC Resistance of Copper wire</v>
      </c>
      <c r="N11" s="472"/>
      <c r="O11" s="470" t="s">
        <v>145</v>
      </c>
      <c r="P11" s="471"/>
    </row>
    <row r="12" spans="1:18" ht="14.65" customHeight="1">
      <c r="A12" s="103">
        <f>+Resonance!K3</f>
        <v>30</v>
      </c>
      <c r="B12" s="151" t="str">
        <f>+Resonance!K2</f>
        <v>AWG</v>
      </c>
      <c r="C12" s="116">
        <f>+Resonance!L3</f>
        <v>0.25459999999999999</v>
      </c>
      <c r="D12" s="152" t="s">
        <v>10</v>
      </c>
      <c r="E12" s="156">
        <f>+Resonance!M3</f>
        <v>5.0910420013292143E-2</v>
      </c>
      <c r="F12" s="152" t="s">
        <v>139</v>
      </c>
      <c r="G12" s="98">
        <f>+Resonance!E28</f>
        <v>4.6037665294312298</v>
      </c>
      <c r="H12" s="152" t="s">
        <v>140</v>
      </c>
      <c r="I12" s="116">
        <f>+Resonance!P3</f>
        <v>0.23419999999999999</v>
      </c>
      <c r="J12" s="152" t="s">
        <v>10</v>
      </c>
      <c r="K12" s="97">
        <f>+I12*2</f>
        <v>0.46839999999999998</v>
      </c>
      <c r="L12" s="152" t="s">
        <v>10</v>
      </c>
      <c r="M12" s="219">
        <f>+O12*G12/E12</f>
        <v>1.5173947169103419</v>
      </c>
      <c r="N12" s="152" t="s">
        <v>2</v>
      </c>
      <c r="O12" s="97">
        <f>+Resonance!L30</f>
        <v>1.678E-2</v>
      </c>
      <c r="P12" s="273" t="s">
        <v>173</v>
      </c>
    </row>
    <row r="13" spans="1:18" ht="14.65" customHeight="1">
      <c r="A13" s="3"/>
      <c r="B13" s="274"/>
      <c r="C13" s="71"/>
      <c r="D13" s="71"/>
      <c r="E13" s="138"/>
      <c r="F13" s="71"/>
      <c r="G13" s="139"/>
      <c r="H13" s="71"/>
      <c r="I13" s="274"/>
      <c r="J13" s="71"/>
      <c r="K13" s="274"/>
      <c r="L13" s="239"/>
      <c r="M13" s="239"/>
      <c r="N13" s="239"/>
      <c r="O13" s="239"/>
      <c r="P13" s="240"/>
    </row>
    <row r="14" spans="1:18" ht="14.65" customHeight="1">
      <c r="A14" s="140"/>
      <c r="B14" s="388" t="s">
        <v>159</v>
      </c>
      <c r="C14" s="388"/>
      <c r="D14" s="141">
        <f>+Resonance!B7</f>
        <v>622.30669562916546</v>
      </c>
      <c r="E14" s="272" t="s">
        <v>2</v>
      </c>
      <c r="F14" s="270" t="s">
        <v>188</v>
      </c>
      <c r="G14" s="181">
        <f>+Resonance!L6</f>
        <v>77.5</v>
      </c>
      <c r="H14" s="274" t="str">
        <f>+Resonance!M6</f>
        <v xml:space="preserve"> kHz</v>
      </c>
      <c r="I14" s="461" t="s">
        <v>141</v>
      </c>
      <c r="J14" s="461"/>
      <c r="K14" s="274"/>
      <c r="L14" s="157"/>
      <c r="M14" s="461" t="s">
        <v>184</v>
      </c>
      <c r="N14" s="461"/>
      <c r="O14" s="461"/>
      <c r="P14" s="462"/>
    </row>
    <row r="15" spans="1:18" ht="14.65" customHeight="1">
      <c r="A15" s="3"/>
      <c r="B15" s="136"/>
      <c r="C15" s="274"/>
      <c r="D15" s="274"/>
      <c r="E15" s="274"/>
      <c r="F15" s="274"/>
      <c r="G15" s="274"/>
      <c r="H15" s="274"/>
      <c r="I15" s="274"/>
      <c r="J15" s="270" t="s">
        <v>163</v>
      </c>
      <c r="K15" s="170"/>
      <c r="L15" s="71"/>
      <c r="M15" s="270"/>
      <c r="N15" s="464" t="str">
        <f>+Resonance!G21</f>
        <v>Copper</v>
      </c>
      <c r="O15" s="464"/>
      <c r="P15" s="129"/>
    </row>
    <row r="16" spans="1:18" ht="14.65" customHeight="1">
      <c r="A16" s="3"/>
      <c r="B16" s="71" t="s">
        <v>158</v>
      </c>
      <c r="C16" s="463" t="s">
        <v>149</v>
      </c>
      <c r="D16" s="463"/>
      <c r="E16" s="142">
        <f>+D14/M12</f>
        <v>410.1152381077755</v>
      </c>
      <c r="F16" s="274" t="str">
        <f>+Resonance!K19</f>
        <v>at Resonance Frequency 77,5 kHz</v>
      </c>
      <c r="G16" s="274"/>
      <c r="H16" s="274"/>
      <c r="I16" s="274"/>
      <c r="J16" s="371">
        <f>+C12/2</f>
        <v>0.1273</v>
      </c>
      <c r="K16" s="366" t="s">
        <v>253</v>
      </c>
      <c r="L16" s="265"/>
      <c r="M16" s="172"/>
      <c r="N16" s="274"/>
      <c r="O16" s="178"/>
      <c r="P16" s="173"/>
      <c r="R16" s="179"/>
    </row>
    <row r="17" spans="1:16" ht="14.65" customHeight="1">
      <c r="A17" s="3"/>
      <c r="B17" s="274"/>
      <c r="C17" s="274"/>
      <c r="D17" s="128"/>
      <c r="E17" s="128"/>
      <c r="F17" s="274"/>
      <c r="G17" s="128"/>
      <c r="H17" s="274"/>
      <c r="I17" s="274"/>
      <c r="J17" s="274"/>
      <c r="K17" s="128"/>
      <c r="L17" s="265"/>
      <c r="M17" s="172"/>
      <c r="N17" s="274"/>
      <c r="O17" s="178"/>
      <c r="P17" s="173"/>
    </row>
    <row r="18" spans="1:16" ht="14.65" customHeight="1">
      <c r="A18" s="3"/>
      <c r="B18" s="8" t="str">
        <f>+Resonance!K7</f>
        <v>A frequency of 77,5 kHz has a skin depth of 0,2342 mm in Copper</v>
      </c>
      <c r="C18" s="8"/>
      <c r="D18" s="8"/>
      <c r="E18" s="8"/>
      <c r="F18" s="8"/>
      <c r="G18" s="8"/>
      <c r="H18" s="8"/>
      <c r="I18" s="460" t="str">
        <f>+Resonance!K22</f>
        <v>δ = Skin depth at 77,5 kHz</v>
      </c>
      <c r="J18" s="460"/>
      <c r="K18" s="274" t="str">
        <f>+Resonance!K71</f>
        <v>The selected Copper wire has the following data:  Maksimal frequency 285,576 kHz</v>
      </c>
      <c r="L18" s="265"/>
      <c r="M18" s="172"/>
      <c r="N18" s="274"/>
      <c r="O18" s="178"/>
      <c r="P18" s="173"/>
    </row>
    <row r="19" spans="1:16" ht="14.65" customHeight="1">
      <c r="A19" s="3"/>
      <c r="B19" s="274"/>
      <c r="C19" s="274"/>
      <c r="D19" s="274"/>
      <c r="E19" s="274"/>
      <c r="F19" s="274"/>
      <c r="G19" s="274"/>
      <c r="H19" s="274"/>
      <c r="I19" s="274"/>
      <c r="J19" s="271">
        <f>+I12</f>
        <v>0.23419999999999999</v>
      </c>
      <c r="K19" s="274"/>
      <c r="L19" s="265"/>
      <c r="M19" s="172"/>
      <c r="N19" s="274"/>
      <c r="O19" s="178"/>
      <c r="P19" s="275"/>
    </row>
    <row r="20" spans="1:16" ht="14.65" customHeight="1">
      <c r="A20" s="3"/>
      <c r="B20" s="274" t="s">
        <v>170</v>
      </c>
      <c r="C20" s="274"/>
      <c r="D20" s="274"/>
      <c r="E20" s="274"/>
      <c r="F20" s="274"/>
      <c r="G20" s="274"/>
      <c r="H20" s="274"/>
      <c r="I20" s="271"/>
      <c r="J20" s="274"/>
      <c r="K20" s="323" t="str">
        <f>+Resonance!K16</f>
        <v>Skin depth at 63% 0,122 mm</v>
      </c>
      <c r="L20" s="266"/>
      <c r="M20" s="172"/>
      <c r="N20" s="274" t="str">
        <f>+Resonance!K13</f>
        <v>Maksimal frequency 285,576 kHz</v>
      </c>
      <c r="O20" s="178"/>
      <c r="P20" s="174"/>
    </row>
    <row r="21" spans="1:16" ht="14.65" customHeight="1">
      <c r="A21" s="149"/>
      <c r="B21" s="143"/>
      <c r="C21" s="143"/>
      <c r="D21" s="143"/>
      <c r="E21" s="143"/>
      <c r="F21" s="143"/>
      <c r="G21" s="143"/>
      <c r="H21" s="143"/>
      <c r="I21" s="274"/>
      <c r="J21" s="274"/>
      <c r="K21" s="274"/>
      <c r="L21" s="265"/>
      <c r="M21" s="172"/>
      <c r="N21" s="274"/>
      <c r="O21" s="178"/>
      <c r="P21" s="275"/>
    </row>
    <row r="22" spans="1:16" ht="14.65" customHeight="1">
      <c r="A22" s="149"/>
      <c r="B22" s="144" t="s">
        <v>171</v>
      </c>
      <c r="C22" s="143"/>
      <c r="D22" s="143"/>
      <c r="E22" s="143"/>
      <c r="F22" s="143"/>
      <c r="G22" s="143"/>
      <c r="H22" s="143"/>
      <c r="I22" s="274"/>
      <c r="J22" s="274"/>
      <c r="K22" s="322" t="str">
        <f>IF(Resonance!D11&lt;=Resonance!Q3,"The selected wire is OK","Find another wire. Litze wire will be OK")</f>
        <v>The selected wire is OK</v>
      </c>
      <c r="L22" s="265"/>
      <c r="M22" s="410"/>
      <c r="N22" s="410"/>
      <c r="O22" s="410"/>
      <c r="P22" s="383"/>
    </row>
    <row r="23" spans="1:16" ht="14.65" customHeight="1">
      <c r="A23" s="149"/>
      <c r="B23" s="274"/>
      <c r="C23" s="274"/>
      <c r="D23" s="71"/>
      <c r="E23" s="71"/>
      <c r="F23" s="71"/>
      <c r="G23" s="71"/>
      <c r="H23" s="274"/>
      <c r="I23" s="274"/>
      <c r="J23" s="274"/>
      <c r="K23" s="274"/>
      <c r="L23" s="372"/>
      <c r="M23" s="377"/>
      <c r="N23" s="373"/>
      <c r="O23" s="373"/>
      <c r="P23" s="374"/>
    </row>
    <row r="24" spans="1:16" ht="14.65" customHeight="1">
      <c r="A24" s="150"/>
      <c r="B24" s="71" t="s">
        <v>172</v>
      </c>
      <c r="C24" s="274"/>
      <c r="D24" s="128"/>
      <c r="E24" s="128"/>
      <c r="F24" s="146"/>
      <c r="G24" s="132"/>
      <c r="H24" s="274"/>
      <c r="I24" s="274"/>
      <c r="J24" s="274"/>
      <c r="K24" s="147"/>
      <c r="L24" s="190"/>
      <c r="M24" s="410" t="s">
        <v>258</v>
      </c>
      <c r="N24" s="410"/>
      <c r="O24" s="410"/>
      <c r="P24" s="383"/>
    </row>
    <row r="25" spans="1:16" ht="14.65" customHeight="1">
      <c r="A25" s="150"/>
      <c r="B25" s="274"/>
      <c r="C25" s="274"/>
      <c r="D25" s="274"/>
      <c r="E25" s="274"/>
      <c r="F25" s="274"/>
      <c r="G25" s="274"/>
      <c r="H25" s="274"/>
      <c r="I25" s="274"/>
      <c r="J25" s="274"/>
      <c r="K25" s="147"/>
      <c r="L25" s="90"/>
      <c r="M25" s="377"/>
      <c r="N25" s="90"/>
      <c r="O25" s="190"/>
      <c r="P25" s="129"/>
    </row>
    <row r="26" spans="1:16" ht="14.65" customHeight="1">
      <c r="A26" s="150"/>
      <c r="B26" s="71" t="str">
        <f>+Resonance!K44</f>
        <v>of the conductor. Calculation here applies to Copper.</v>
      </c>
      <c r="C26" s="274"/>
      <c r="D26" s="274"/>
      <c r="E26" s="274"/>
      <c r="F26" s="274"/>
      <c r="G26" s="274"/>
      <c r="H26" s="274"/>
      <c r="I26" s="274"/>
      <c r="J26" s="274"/>
      <c r="K26" s="147"/>
      <c r="L26" s="90"/>
      <c r="M26" s="408" t="s">
        <v>259</v>
      </c>
      <c r="N26" s="408"/>
      <c r="O26" s="408"/>
      <c r="P26" s="385"/>
    </row>
    <row r="27" spans="1:16" ht="14.65" customHeight="1">
      <c r="A27" s="150"/>
      <c r="B27" s="274"/>
      <c r="C27" s="274"/>
      <c r="D27" s="274"/>
      <c r="E27" s="274"/>
      <c r="F27" s="274"/>
      <c r="G27" s="274"/>
      <c r="H27" s="274"/>
      <c r="I27" s="274"/>
      <c r="J27" s="274"/>
      <c r="K27" s="145"/>
      <c r="L27" s="90"/>
      <c r="M27" s="377"/>
      <c r="N27" s="90"/>
      <c r="O27" s="175"/>
      <c r="P27" s="129"/>
    </row>
    <row r="28" spans="1:16" ht="14.65" customHeight="1">
      <c r="A28" s="149"/>
      <c r="B28" s="162"/>
      <c r="C28" s="143"/>
      <c r="D28" s="143"/>
      <c r="E28" s="143"/>
      <c r="F28" s="143"/>
      <c r="G28" s="143"/>
      <c r="H28" s="143"/>
      <c r="I28" s="274"/>
      <c r="J28" s="274"/>
      <c r="K28" s="266"/>
      <c r="L28" s="90"/>
      <c r="M28" s="409" t="s">
        <v>260</v>
      </c>
      <c r="N28" s="409"/>
      <c r="O28" s="409"/>
      <c r="P28" s="387"/>
    </row>
    <row r="29" spans="1:16" ht="14.65" customHeight="1">
      <c r="A29" s="149"/>
      <c r="B29" s="143"/>
      <c r="C29" s="143"/>
      <c r="D29" s="143"/>
      <c r="E29" s="143"/>
      <c r="F29" s="143"/>
      <c r="G29" s="143"/>
      <c r="H29" s="143"/>
      <c r="I29" s="274"/>
      <c r="J29" s="274"/>
      <c r="K29" s="274"/>
      <c r="L29" s="90"/>
      <c r="M29" s="90"/>
      <c r="N29" s="90"/>
      <c r="O29" s="175"/>
      <c r="P29" s="129"/>
    </row>
    <row r="30" spans="1:16" ht="14.65" customHeight="1" thickBot="1">
      <c r="A30" s="375" t="s">
        <v>15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76"/>
      <c r="M30" s="176"/>
      <c r="N30" s="176"/>
      <c r="O30" s="177"/>
      <c r="P30" s="378" t="s">
        <v>261</v>
      </c>
    </row>
    <row r="31" spans="1:16" ht="15" customHeight="1">
      <c r="A31" s="11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" customHeight="1">
      <c r="A32" s="11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7" ht="15" customHeight="1">
      <c r="A33" s="11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7" ht="15" customHeight="1">
      <c r="A34" s="11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7" ht="15" customHeight="1">
      <c r="A35" s="11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7" ht="15" customHeight="1">
      <c r="A36" s="11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7" ht="15" customHeight="1">
      <c r="A37" s="11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7" ht="15" customHeight="1">
      <c r="A38" s="11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7" ht="15" customHeight="1">
      <c r="A39" s="11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7" ht="15" customHeight="1">
      <c r="A40" s="11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53"/>
      <c r="N40" s="2"/>
      <c r="O40" s="2"/>
      <c r="P40" s="2"/>
      <c r="Q40" s="22"/>
    </row>
    <row r="41" spans="1:17">
      <c r="A41" s="94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22"/>
    </row>
    <row r="42" spans="1:17">
      <c r="A42" s="94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</row>
    <row r="43" spans="1:17">
      <c r="A43" s="94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</row>
    <row r="44" spans="1:17">
      <c r="A44" s="94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</row>
    <row r="45" spans="1:17">
      <c r="A45" s="94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</row>
    <row r="46" spans="1:17">
      <c r="A46" s="94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</row>
    <row r="47" spans="1:17">
      <c r="A47" s="94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</row>
    <row r="48" spans="1:17">
      <c r="A48" s="94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</row>
    <row r="49" spans="1:16">
      <c r="A49" s="94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</row>
    <row r="50" spans="1:16">
      <c r="A50" s="94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1:16">
      <c r="A51" s="94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</row>
    <row r="52" spans="1:16">
      <c r="A52" s="94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</row>
    <row r="53" spans="1:16">
      <c r="A53" s="94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</row>
    <row r="54" spans="1:16">
      <c r="A54" s="94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</row>
    <row r="55" spans="1:16">
      <c r="A55" s="94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</row>
    <row r="56" spans="1:16">
      <c r="A56" s="94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</row>
    <row r="57" spans="1:16">
      <c r="A57" s="94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</row>
    <row r="58" spans="1:16">
      <c r="A58" s="94"/>
      <c r="B58" s="92"/>
      <c r="C58" s="92"/>
      <c r="D58" s="92"/>
      <c r="E58" s="92"/>
      <c r="F58" s="93"/>
      <c r="G58" s="93"/>
      <c r="H58" s="93"/>
      <c r="I58" s="93"/>
      <c r="J58" s="93"/>
      <c r="K58" s="93"/>
      <c r="L58" s="93"/>
      <c r="M58" s="92"/>
      <c r="N58" s="92"/>
      <c r="O58" s="92"/>
      <c r="P58" s="92"/>
    </row>
    <row r="59" spans="1:16">
      <c r="A59" s="94"/>
      <c r="B59" s="92"/>
      <c r="C59" s="92"/>
      <c r="D59" s="92"/>
      <c r="E59" s="92"/>
      <c r="F59" s="93"/>
      <c r="G59" s="93"/>
      <c r="H59" s="93"/>
      <c r="I59" s="93"/>
      <c r="J59" s="93"/>
      <c r="K59" s="93"/>
      <c r="L59" s="93"/>
      <c r="M59" s="102"/>
      <c r="N59" s="92"/>
      <c r="O59" s="92"/>
      <c r="P59" s="92"/>
    </row>
    <row r="60" spans="1:16">
      <c r="A60" s="94"/>
      <c r="B60" s="92"/>
      <c r="C60" s="92"/>
      <c r="D60" s="92"/>
      <c r="E60" s="92"/>
      <c r="F60" s="93"/>
      <c r="G60" s="106"/>
      <c r="H60" s="119"/>
      <c r="I60" s="119"/>
      <c r="J60" s="107"/>
      <c r="K60" s="107"/>
      <c r="L60" s="93"/>
      <c r="M60" s="102"/>
      <c r="N60" s="92"/>
      <c r="O60" s="92"/>
      <c r="P60" s="92"/>
    </row>
    <row r="61" spans="1:16">
      <c r="A61" s="94"/>
      <c r="B61" s="92"/>
      <c r="C61" s="92"/>
      <c r="D61" s="92"/>
      <c r="E61" s="92"/>
      <c r="F61" s="93"/>
      <c r="G61" s="106"/>
      <c r="H61" s="108"/>
      <c r="I61" s="109"/>
      <c r="J61" s="110"/>
      <c r="K61" s="110"/>
      <c r="L61" s="93"/>
      <c r="M61" s="102"/>
      <c r="N61" s="92"/>
      <c r="O61" s="92"/>
      <c r="P61" s="92"/>
    </row>
    <row r="62" spans="1:16">
      <c r="A62" s="94"/>
      <c r="B62" s="92"/>
      <c r="C62" s="92"/>
      <c r="D62" s="92"/>
      <c r="E62" s="92"/>
      <c r="F62" s="93"/>
      <c r="G62" s="111"/>
      <c r="H62" s="112"/>
      <c r="I62" s="109"/>
      <c r="J62" s="110"/>
      <c r="K62" s="110"/>
      <c r="L62" s="93"/>
      <c r="M62" s="102"/>
      <c r="N62" s="92"/>
      <c r="O62" s="92"/>
      <c r="P62" s="92"/>
    </row>
    <row r="63" spans="1:16">
      <c r="A63" s="94"/>
      <c r="B63" s="92"/>
      <c r="C63" s="92"/>
      <c r="D63" s="92"/>
      <c r="E63" s="92"/>
      <c r="F63" s="93"/>
      <c r="G63" s="111"/>
      <c r="H63" s="112"/>
      <c r="I63" s="109"/>
      <c r="J63" s="110"/>
      <c r="K63" s="110"/>
      <c r="L63" s="93"/>
      <c r="M63" s="102"/>
      <c r="N63" s="92"/>
      <c r="O63" s="92"/>
      <c r="P63" s="92"/>
    </row>
    <row r="64" spans="1:16">
      <c r="A64" s="94"/>
      <c r="B64" s="92"/>
      <c r="C64" s="92"/>
      <c r="D64" s="92"/>
      <c r="E64" s="92"/>
      <c r="F64" s="93"/>
      <c r="G64" s="93"/>
      <c r="H64" s="93"/>
      <c r="I64" s="93"/>
      <c r="J64" s="93"/>
      <c r="K64" s="93"/>
      <c r="L64" s="93"/>
      <c r="M64" s="102"/>
      <c r="N64" s="92"/>
      <c r="O64" s="92"/>
      <c r="P64" s="92"/>
    </row>
    <row r="65" spans="1:16" ht="13.5" thickBot="1">
      <c r="A65" s="95"/>
      <c r="B65" s="96"/>
      <c r="C65" s="96"/>
      <c r="D65" s="96"/>
      <c r="E65" s="96"/>
      <c r="F65" s="104"/>
      <c r="G65" s="104"/>
      <c r="H65" s="104"/>
      <c r="I65" s="104"/>
      <c r="J65" s="104"/>
      <c r="K65" s="104"/>
      <c r="L65" s="104"/>
      <c r="M65" s="104"/>
      <c r="N65" s="96"/>
      <c r="O65" s="96"/>
      <c r="P65" s="96"/>
    </row>
    <row r="66" spans="1:1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1:1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1:1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1:1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1:1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1:1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1:1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1:1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</row>
    <row r="90" spans="1:1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</row>
    <row r="91" spans="1:1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</row>
    <row r="92" spans="1:1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</row>
    <row r="93" spans="1:1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</row>
    <row r="95" spans="1:1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</row>
    <row r="96" spans="1:1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</row>
    <row r="97" spans="1:1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spans="1:1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</row>
    <row r="99" spans="1:1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spans="1:1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</row>
    <row r="101" spans="1:1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  <row r="102" spans="1:1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</row>
    <row r="103" spans="1:1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</row>
    <row r="104" spans="1:1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</row>
    <row r="105" spans="1:1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</row>
    <row r="106" spans="1:1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</row>
    <row r="108" spans="1:1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</row>
    <row r="109" spans="1:1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  <row r="110" spans="1:1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</row>
    <row r="111" spans="1:1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</row>
    <row r="112" spans="1:1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</row>
    <row r="113" spans="1:1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</row>
    <row r="114" spans="1:1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</row>
    <row r="115" spans="1:1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</row>
    <row r="116" spans="1:1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</row>
    <row r="119" spans="1:1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</row>
    <row r="121" spans="1:1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</row>
    <row r="122" spans="1:1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</row>
    <row r="123" spans="1:1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</row>
    <row r="124" spans="1:1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1:1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</row>
    <row r="126" spans="1:1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</row>
    <row r="127" spans="1:1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</row>
    <row r="128" spans="1:1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</row>
    <row r="129" spans="1:1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</row>
    <row r="130" spans="1:1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</row>
    <row r="131" spans="1:1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</row>
    <row r="132" spans="1:1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</row>
    <row r="134" spans="1:1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</row>
    <row r="135" spans="1:1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</row>
    <row r="136" spans="1:1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spans="1:1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</row>
    <row r="138" spans="1:1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</row>
    <row r="139" spans="1:1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</row>
    <row r="140" spans="1:1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</row>
    <row r="141" spans="1:1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</row>
    <row r="142" spans="1:1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</row>
    <row r="143" spans="1:1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</row>
    <row r="144" spans="1:1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</row>
    <row r="145" spans="1:1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</row>
    <row r="147" spans="1:1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spans="1:1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</row>
    <row r="149" spans="1:1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</row>
    <row r="150" spans="1:1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</row>
    <row r="151" spans="1:1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</row>
    <row r="152" spans="1:1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</row>
    <row r="153" spans="1:1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</row>
    <row r="154" spans="1:1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</row>
    <row r="155" spans="1:1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</row>
    <row r="156" spans="1:1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</row>
    <row r="157" spans="1:1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</row>
    <row r="158" spans="1:1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</row>
    <row r="160" spans="1:1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</row>
    <row r="161" spans="1:1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</row>
    <row r="162" spans="1:1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</row>
    <row r="163" spans="1:1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</row>
    <row r="164" spans="1:1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1:1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1:1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1:1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1:1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</row>
    <row r="175" spans="1:1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</row>
    <row r="176" spans="1:1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</row>
    <row r="177" spans="1:1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</row>
    <row r="178" spans="1:1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</row>
    <row r="179" spans="1:1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</row>
    <row r="180" spans="1:1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</row>
    <row r="181" spans="1:1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</row>
    <row r="182" spans="1:1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</row>
    <row r="183" spans="1:1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</row>
    <row r="184" spans="1:1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</row>
    <row r="186" spans="1:1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</row>
    <row r="187" spans="1:1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</row>
    <row r="188" spans="1:1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</row>
    <row r="189" spans="1:1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</row>
    <row r="190" spans="1:1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</row>
    <row r="191" spans="1:1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</row>
    <row r="192" spans="1:1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</row>
    <row r="193" spans="1:1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</row>
    <row r="194" spans="1:1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</row>
    <row r="195" spans="1:1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</row>
    <row r="196" spans="1:1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</row>
    <row r="197" spans="1:1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</row>
    <row r="199" spans="1:1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</row>
    <row r="200" spans="1:16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</row>
    <row r="201" spans="1:16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</row>
    <row r="202" spans="1:16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</row>
    <row r="203" spans="1:16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</row>
    <row r="204" spans="1:16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</row>
    <row r="205" spans="1:16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</row>
    <row r="206" spans="1:16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</row>
    <row r="207" spans="1:16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</row>
    <row r="208" spans="1:16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</row>
    <row r="209" spans="1:16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</row>
    <row r="210" spans="1:16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</row>
    <row r="212" spans="1:16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</row>
    <row r="213" spans="1:16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</row>
    <row r="214" spans="1:16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</row>
    <row r="215" spans="1:16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</row>
    <row r="216" spans="1:16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</row>
    <row r="217" spans="1:16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</row>
    <row r="218" spans="1:16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</row>
    <row r="219" spans="1:16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</row>
    <row r="220" spans="1:16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</row>
    <row r="221" spans="1:16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</row>
    <row r="222" spans="1:16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</row>
    <row r="223" spans="1:16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</row>
    <row r="225" spans="1:16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</row>
    <row r="226" spans="1:16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</row>
    <row r="227" spans="1:16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</row>
    <row r="228" spans="1:16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</row>
    <row r="229" spans="1:16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</row>
    <row r="230" spans="1:16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</row>
    <row r="231" spans="1:16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</row>
    <row r="232" spans="1:16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</row>
    <row r="233" spans="1:16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</row>
    <row r="234" spans="1:16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</row>
    <row r="235" spans="1:16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</row>
    <row r="236" spans="1:16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</row>
    <row r="238" spans="1:16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</row>
    <row r="239" spans="1:16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</row>
    <row r="240" spans="1:16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</row>
    <row r="241" spans="1:16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</row>
    <row r="242" spans="1:16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</row>
    <row r="243" spans="1:16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</row>
    <row r="244" spans="1:16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</row>
    <row r="245" spans="1:16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</row>
    <row r="246" spans="1:16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</row>
    <row r="247" spans="1:16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</row>
    <row r="248" spans="1:16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</row>
    <row r="249" spans="1:16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</row>
    <row r="251" spans="1:16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</row>
    <row r="252" spans="1:16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</row>
    <row r="253" spans="1:16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</row>
    <row r="254" spans="1:16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</row>
    <row r="255" spans="1:16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</row>
    <row r="256" spans="1:16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</row>
    <row r="257" spans="1:16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</row>
    <row r="258" spans="1:16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</row>
    <row r="259" spans="1:16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</row>
    <row r="260" spans="1:16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</row>
    <row r="261" spans="1:16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</row>
    <row r="262" spans="1:16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1:16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</row>
    <row r="264" spans="1:16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</row>
    <row r="265" spans="1:16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</row>
    <row r="266" spans="1:16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</row>
    <row r="267" spans="1:16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</row>
    <row r="268" spans="1:16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</row>
    <row r="269" spans="1:16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</row>
    <row r="270" spans="1:16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</row>
    <row r="271" spans="1:16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</row>
    <row r="272" spans="1:16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</row>
  </sheetData>
  <mergeCells count="21">
    <mergeCell ref="C16:D16"/>
    <mergeCell ref="B14:C14"/>
    <mergeCell ref="N15:O15"/>
    <mergeCell ref="M22:P22"/>
    <mergeCell ref="A1:P1"/>
    <mergeCell ref="A9:P9"/>
    <mergeCell ref="A11:B11"/>
    <mergeCell ref="C11:D11"/>
    <mergeCell ref="E11:F11"/>
    <mergeCell ref="G11:H11"/>
    <mergeCell ref="I11:J11"/>
    <mergeCell ref="K11:L11"/>
    <mergeCell ref="O11:P11"/>
    <mergeCell ref="M11:N11"/>
    <mergeCell ref="M24:P24"/>
    <mergeCell ref="M26:P26"/>
    <mergeCell ref="M28:P28"/>
    <mergeCell ref="M10:N10"/>
    <mergeCell ref="I18:J18"/>
    <mergeCell ref="I14:J14"/>
    <mergeCell ref="M14:P14"/>
  </mergeCells>
  <hyperlinks>
    <hyperlink ref="M26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2"/>
  <sheetViews>
    <sheetView zoomScaleNormal="100" workbookViewId="0">
      <selection activeCell="T47" sqref="T47"/>
    </sheetView>
  </sheetViews>
  <sheetFormatPr defaultColWidth="8.85546875" defaultRowHeight="12.75"/>
  <cols>
    <col min="1" max="8" width="9.7109375" style="1" customWidth="1"/>
    <col min="9" max="10" width="15.7109375" style="1" customWidth="1"/>
    <col min="11" max="12" width="11.7109375" style="1" customWidth="1"/>
    <col min="13" max="14" width="12.7109375" style="1" customWidth="1"/>
    <col min="15" max="15" width="10.7109375" style="1" customWidth="1"/>
    <col min="16" max="16" width="11.5703125" style="1" bestFit="1" customWidth="1"/>
    <col min="17" max="17" width="8.85546875" style="1"/>
    <col min="18" max="18" width="10.5703125" style="1" bestFit="1" customWidth="1"/>
    <col min="19" max="16384" width="8.85546875" style="1"/>
  </cols>
  <sheetData>
    <row r="1" spans="1:18" ht="25.9" customHeight="1">
      <c r="A1" s="465" t="str">
        <f>+Resonance!K50</f>
        <v>Skin effekt in Copper wire of a winded rod coil [Ferrite Rod Sheet]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66"/>
    </row>
    <row r="2" spans="1:18" ht="15" customHeight="1">
      <c r="A2" s="401" t="s">
        <v>147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12"/>
    </row>
    <row r="3" spans="1:18" ht="15" customHeight="1">
      <c r="A3" s="475"/>
      <c r="B3" s="461"/>
      <c r="C3" s="461"/>
      <c r="D3" s="461"/>
      <c r="E3" s="461"/>
      <c r="F3" s="274"/>
      <c r="G3" s="274"/>
      <c r="H3" s="274"/>
      <c r="I3" s="274"/>
      <c r="J3" s="274"/>
      <c r="K3" s="71"/>
      <c r="L3" s="274"/>
      <c r="M3" s="274"/>
      <c r="N3" s="274"/>
      <c r="O3" s="274"/>
      <c r="P3" s="275"/>
    </row>
    <row r="4" spans="1:18" ht="15" customHeight="1">
      <c r="A4" s="467" t="s">
        <v>84</v>
      </c>
      <c r="B4" s="468"/>
      <c r="C4" s="468" t="s">
        <v>136</v>
      </c>
      <c r="D4" s="468"/>
      <c r="E4" s="469" t="s">
        <v>137</v>
      </c>
      <c r="F4" s="469"/>
      <c r="G4" s="468" t="s">
        <v>138</v>
      </c>
      <c r="H4" s="468"/>
      <c r="I4" s="469" t="str">
        <f>+Resonance!K22</f>
        <v>δ = Skin depth at 77,5 kHz</v>
      </c>
      <c r="J4" s="469"/>
      <c r="K4" s="468" t="s">
        <v>178</v>
      </c>
      <c r="L4" s="468"/>
      <c r="M4" s="472" t="str">
        <f>+Resonance!K25</f>
        <v>DC Resistance of Copper wire</v>
      </c>
      <c r="N4" s="472"/>
      <c r="O4" s="470" t="s">
        <v>145</v>
      </c>
      <c r="P4" s="471"/>
    </row>
    <row r="5" spans="1:18" ht="15" customHeight="1">
      <c r="A5" s="159">
        <f>+Resonance!K3</f>
        <v>30</v>
      </c>
      <c r="B5" s="155" t="str">
        <f>+Resonance!K2</f>
        <v>AWG</v>
      </c>
      <c r="C5" s="97">
        <f>+Resonance!L3</f>
        <v>0.25459999999999999</v>
      </c>
      <c r="D5" s="152" t="s">
        <v>10</v>
      </c>
      <c r="E5" s="156">
        <f>+Resonance!M3</f>
        <v>5.0910420013292143E-2</v>
      </c>
      <c r="F5" s="152" t="s">
        <v>139</v>
      </c>
      <c r="G5" s="98">
        <f>+'Ferrite Rod'!K9</f>
        <v>5.5068125418273528</v>
      </c>
      <c r="H5" s="152" t="s">
        <v>140</v>
      </c>
      <c r="I5" s="97">
        <f>+Resonance!P3</f>
        <v>0.23419999999999999</v>
      </c>
      <c r="J5" s="152" t="s">
        <v>10</v>
      </c>
      <c r="K5" s="97">
        <f>+I5*2</f>
        <v>0.46839999999999998</v>
      </c>
      <c r="L5" s="152" t="s">
        <v>10</v>
      </c>
      <c r="M5" s="219">
        <f>+O5*G5/E5</f>
        <v>1.8150373622479885</v>
      </c>
      <c r="N5" s="152" t="s">
        <v>2</v>
      </c>
      <c r="O5" s="97">
        <f>+Resonance!L30</f>
        <v>1.678E-2</v>
      </c>
      <c r="P5" s="160" t="s">
        <v>146</v>
      </c>
    </row>
    <row r="6" spans="1:18" ht="15" customHeight="1">
      <c r="A6" s="3"/>
      <c r="B6" s="274"/>
      <c r="C6" s="71"/>
      <c r="D6" s="274"/>
      <c r="E6" s="274"/>
      <c r="F6" s="71"/>
      <c r="G6" s="139"/>
      <c r="H6" s="71"/>
      <c r="I6" s="274"/>
      <c r="J6" s="71"/>
      <c r="K6" s="274"/>
      <c r="L6" s="239"/>
      <c r="M6" s="239"/>
      <c r="N6" s="239"/>
      <c r="O6" s="239"/>
      <c r="P6" s="240"/>
    </row>
    <row r="7" spans="1:18" ht="15" customHeight="1">
      <c r="A7" s="140"/>
      <c r="B7" s="388" t="s">
        <v>159</v>
      </c>
      <c r="C7" s="388"/>
      <c r="D7" s="141">
        <f>+Resonance!B7</f>
        <v>622.30669562916546</v>
      </c>
      <c r="E7" s="272" t="s">
        <v>2</v>
      </c>
      <c r="F7" s="270" t="s">
        <v>188</v>
      </c>
      <c r="G7" s="181">
        <f>+Resonance!L6</f>
        <v>77.5</v>
      </c>
      <c r="H7" s="274" t="str">
        <f>+Resonance!M6</f>
        <v xml:space="preserve"> kHz</v>
      </c>
      <c r="I7" s="461" t="s">
        <v>141</v>
      </c>
      <c r="J7" s="461"/>
      <c r="K7" s="274"/>
      <c r="L7" s="157"/>
      <c r="M7" s="461" t="s">
        <v>184</v>
      </c>
      <c r="N7" s="461"/>
      <c r="O7" s="461"/>
      <c r="P7" s="462"/>
    </row>
    <row r="8" spans="1:18" ht="15" customHeight="1">
      <c r="A8" s="140"/>
      <c r="B8" s="136"/>
      <c r="C8" s="274"/>
      <c r="D8" s="274"/>
      <c r="E8" s="274"/>
      <c r="F8" s="274"/>
      <c r="G8" s="274"/>
      <c r="H8" s="157"/>
      <c r="I8" s="274"/>
      <c r="J8" s="270" t="s">
        <v>163</v>
      </c>
      <c r="K8" s="170"/>
      <c r="L8" s="157"/>
      <c r="M8" s="270"/>
      <c r="N8" s="464" t="str">
        <f>+Resonance!G21</f>
        <v>Copper</v>
      </c>
      <c r="O8" s="464"/>
      <c r="P8" s="129"/>
    </row>
    <row r="9" spans="1:18" ht="15" customHeight="1">
      <c r="A9" s="140"/>
      <c r="B9" s="71" t="s">
        <v>158</v>
      </c>
      <c r="C9" s="463" t="s">
        <v>149</v>
      </c>
      <c r="D9" s="463"/>
      <c r="E9" s="142">
        <f>+D7/M5</f>
        <v>342.86164492967595</v>
      </c>
      <c r="F9" s="274" t="str">
        <f>+Resonance!K19</f>
        <v>at Resonance Frequency 77,5 kHz</v>
      </c>
      <c r="G9" s="274"/>
      <c r="H9" s="157"/>
      <c r="I9" s="274"/>
      <c r="J9" s="271">
        <f>+C5/2</f>
        <v>0.1273</v>
      </c>
      <c r="K9" s="366" t="s">
        <v>253</v>
      </c>
      <c r="L9" s="363"/>
      <c r="M9" s="172"/>
      <c r="N9" s="364"/>
      <c r="O9" s="178"/>
      <c r="P9" s="173"/>
    </row>
    <row r="10" spans="1:18" ht="15" customHeight="1">
      <c r="A10" s="140"/>
      <c r="B10" s="274"/>
      <c r="C10" s="274"/>
      <c r="D10" s="128"/>
      <c r="E10" s="128"/>
      <c r="F10" s="274"/>
      <c r="G10" s="128"/>
      <c r="H10" s="157"/>
      <c r="I10" s="274"/>
      <c r="J10" s="274"/>
      <c r="K10" s="128"/>
      <c r="L10" s="363"/>
      <c r="M10" s="172"/>
      <c r="N10" s="364"/>
      <c r="O10" s="178"/>
      <c r="P10" s="173"/>
    </row>
    <row r="11" spans="1:18" ht="15" customHeight="1">
      <c r="A11" s="140"/>
      <c r="B11" s="8" t="str">
        <f>+Resonance!K7</f>
        <v>A frequency of 77,5 kHz has a skin depth of 0,2342 mm in Copper</v>
      </c>
      <c r="C11" s="8"/>
      <c r="D11" s="8"/>
      <c r="E11" s="8"/>
      <c r="F11" s="8"/>
      <c r="G11" s="8"/>
      <c r="H11" s="157"/>
      <c r="I11" s="460" t="str">
        <f>+Resonance!K22</f>
        <v>δ = Skin depth at 77,5 kHz</v>
      </c>
      <c r="J11" s="460"/>
      <c r="K11" s="364" t="str">
        <f>+Resonance!K71</f>
        <v>The selected Copper wire has the following data:  Maksimal frequency 285,576 kHz</v>
      </c>
      <c r="L11" s="363"/>
      <c r="M11" s="172"/>
      <c r="N11" s="364"/>
      <c r="O11" s="178"/>
      <c r="P11" s="173"/>
      <c r="R11" s="99"/>
    </row>
    <row r="12" spans="1:18" ht="15" customHeight="1">
      <c r="A12" s="140"/>
      <c r="B12" s="274"/>
      <c r="C12" s="274"/>
      <c r="D12" s="274"/>
      <c r="E12" s="274"/>
      <c r="F12" s="274"/>
      <c r="G12" s="274"/>
      <c r="H12" s="157"/>
      <c r="I12" s="274"/>
      <c r="J12" s="271">
        <f>+I5</f>
        <v>0.23419999999999999</v>
      </c>
      <c r="K12" s="364"/>
      <c r="L12" s="363"/>
      <c r="M12" s="172"/>
      <c r="N12" s="364"/>
      <c r="O12" s="178"/>
      <c r="P12" s="365"/>
    </row>
    <row r="13" spans="1:18" ht="15" customHeight="1">
      <c r="A13" s="140"/>
      <c r="B13" s="274" t="s">
        <v>170</v>
      </c>
      <c r="C13" s="274"/>
      <c r="D13" s="274"/>
      <c r="E13" s="274"/>
      <c r="F13" s="274"/>
      <c r="G13" s="274"/>
      <c r="H13" s="157"/>
      <c r="I13" s="271"/>
      <c r="J13" s="274"/>
      <c r="K13" s="364" t="str">
        <f>+Resonance!K16</f>
        <v>Skin depth at 63% 0,122 mm</v>
      </c>
      <c r="L13" s="266"/>
      <c r="M13" s="172"/>
      <c r="N13" s="364" t="str">
        <f>+Resonance!K13</f>
        <v>Maksimal frequency 285,576 kHz</v>
      </c>
      <c r="O13" s="178"/>
      <c r="P13" s="174"/>
      <c r="R13" s="100"/>
    </row>
    <row r="14" spans="1:18" ht="15" customHeight="1">
      <c r="A14" s="140"/>
      <c r="B14" s="143"/>
      <c r="C14" s="143"/>
      <c r="D14" s="143"/>
      <c r="E14" s="143"/>
      <c r="F14" s="143"/>
      <c r="G14" s="143"/>
      <c r="H14" s="157"/>
      <c r="I14" s="274"/>
      <c r="J14" s="274"/>
      <c r="K14" s="364"/>
      <c r="L14" s="363"/>
      <c r="M14" s="172"/>
      <c r="N14" s="364"/>
      <c r="O14" s="178"/>
      <c r="P14" s="365"/>
    </row>
    <row r="15" spans="1:18" ht="15" customHeight="1">
      <c r="A15" s="140"/>
      <c r="B15" s="144" t="s">
        <v>171</v>
      </c>
      <c r="C15" s="143"/>
      <c r="D15" s="143"/>
      <c r="E15" s="143"/>
      <c r="F15" s="143"/>
      <c r="G15" s="143"/>
      <c r="H15" s="157"/>
      <c r="I15" s="274"/>
      <c r="J15" s="274"/>
      <c r="K15" s="361" t="str">
        <f>IF(Resonance!D11&lt;=Resonance!Q3,"The selected wire is OK","Find another wire. Litze wire will be OK")</f>
        <v>The selected wire is OK</v>
      </c>
      <c r="L15" s="363"/>
      <c r="M15" s="172"/>
      <c r="N15" s="364"/>
      <c r="O15" s="178"/>
      <c r="P15" s="173"/>
    </row>
    <row r="16" spans="1:18" ht="15" customHeight="1">
      <c r="A16" s="140"/>
      <c r="B16" s="274"/>
      <c r="C16" s="274"/>
      <c r="D16" s="71"/>
      <c r="E16" s="71"/>
      <c r="F16" s="71"/>
      <c r="G16" s="71"/>
      <c r="H16" s="157"/>
      <c r="I16" s="274"/>
      <c r="J16" s="274"/>
      <c r="K16" s="274"/>
      <c r="L16" s="157"/>
      <c r="M16" s="157"/>
      <c r="N16" s="157"/>
      <c r="O16" s="157"/>
      <c r="P16" s="241"/>
      <c r="R16" s="101"/>
    </row>
    <row r="17" spans="1:16" ht="15" customHeight="1">
      <c r="A17" s="140"/>
      <c r="B17" s="71" t="s">
        <v>172</v>
      </c>
      <c r="C17" s="274"/>
      <c r="D17" s="128"/>
      <c r="E17" s="128"/>
      <c r="F17" s="146"/>
      <c r="G17" s="132"/>
      <c r="H17" s="157"/>
      <c r="I17" s="274"/>
      <c r="J17" s="274"/>
      <c r="K17" s="147"/>
      <c r="L17" s="157"/>
      <c r="M17" s="157"/>
      <c r="N17" s="157"/>
      <c r="O17" s="157"/>
      <c r="P17" s="241"/>
    </row>
    <row r="18" spans="1:16" ht="15" customHeight="1">
      <c r="A18" s="140"/>
      <c r="B18" s="274"/>
      <c r="C18" s="274"/>
      <c r="D18" s="274"/>
      <c r="E18" s="274"/>
      <c r="F18" s="274"/>
      <c r="G18" s="274"/>
      <c r="H18" s="157"/>
      <c r="I18" s="274"/>
      <c r="J18" s="274"/>
      <c r="K18" s="147"/>
      <c r="L18" s="157"/>
      <c r="M18" s="157"/>
      <c r="N18" s="157"/>
      <c r="O18" s="157"/>
      <c r="P18" s="241"/>
    </row>
    <row r="19" spans="1:16" ht="15" customHeight="1">
      <c r="A19" s="140"/>
      <c r="B19" s="71" t="str">
        <f>+Resonance!K44</f>
        <v>of the conductor. Calculation here applies to Copper.</v>
      </c>
      <c r="C19" s="274"/>
      <c r="D19" s="274"/>
      <c r="E19" s="274"/>
      <c r="F19" s="274"/>
      <c r="G19" s="274"/>
      <c r="H19" s="157"/>
      <c r="I19" s="274"/>
      <c r="J19" s="274"/>
      <c r="K19" s="147"/>
      <c r="L19" s="157"/>
      <c r="M19" s="157"/>
      <c r="N19" s="157"/>
      <c r="O19" s="157"/>
      <c r="P19" s="241"/>
    </row>
    <row r="20" spans="1:16" ht="15" customHeight="1">
      <c r="A20" s="140"/>
      <c r="B20" s="157"/>
      <c r="C20" s="157"/>
      <c r="D20" s="157"/>
      <c r="E20" s="157"/>
      <c r="F20" s="157"/>
      <c r="G20" s="157"/>
      <c r="H20" s="157"/>
      <c r="I20" s="274"/>
      <c r="J20" s="274"/>
      <c r="K20" s="145"/>
      <c r="L20" s="157"/>
      <c r="M20" s="157"/>
      <c r="N20" s="157"/>
      <c r="O20" s="157"/>
      <c r="P20" s="241"/>
    </row>
    <row r="21" spans="1:16" ht="15" customHeight="1">
      <c r="A21" s="140"/>
      <c r="B21" s="162" t="s">
        <v>123</v>
      </c>
      <c r="C21" s="157"/>
      <c r="D21" s="157"/>
      <c r="E21" s="157"/>
      <c r="F21" s="157"/>
      <c r="G21" s="157"/>
      <c r="H21" s="157"/>
      <c r="I21" s="274"/>
      <c r="J21" s="274"/>
      <c r="K21" s="266"/>
      <c r="L21" s="157"/>
      <c r="M21" s="157"/>
      <c r="N21" s="157"/>
      <c r="O21" s="157"/>
      <c r="P21" s="241"/>
    </row>
    <row r="22" spans="1:16" ht="15" customHeight="1">
      <c r="A22" s="140"/>
      <c r="B22" s="157"/>
      <c r="C22" s="157"/>
      <c r="D22" s="157"/>
      <c r="E22" s="157"/>
      <c r="F22" s="157"/>
      <c r="G22" s="157"/>
      <c r="H22" s="157"/>
      <c r="I22" s="274"/>
      <c r="J22" s="274"/>
      <c r="K22" s="274"/>
      <c r="L22" s="157"/>
      <c r="M22" s="157"/>
      <c r="N22" s="157"/>
      <c r="O22" s="157"/>
      <c r="P22" s="241"/>
    </row>
    <row r="23" spans="1:16" ht="15" customHeight="1" thickBot="1">
      <c r="A23" s="161"/>
      <c r="B23" s="158"/>
      <c r="C23" s="158"/>
      <c r="D23" s="158"/>
      <c r="E23" s="158"/>
      <c r="F23" s="158"/>
      <c r="G23" s="158"/>
      <c r="H23" s="158"/>
      <c r="I23" s="10"/>
      <c r="J23" s="10"/>
      <c r="K23" s="10"/>
      <c r="L23" s="158"/>
      <c r="M23" s="158"/>
      <c r="N23" s="158"/>
      <c r="O23" s="158"/>
      <c r="P23" s="252"/>
    </row>
    <row r="24" spans="1:16" ht="25.9" customHeight="1">
      <c r="A24" s="465" t="str">
        <f>+Resonance!K53</f>
        <v>Skin effekt in Copper wire of a winded bar coil [Ferrite Rod Sheet]</v>
      </c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66"/>
    </row>
    <row r="25" spans="1:16" ht="15" customHeight="1">
      <c r="A25" s="401" t="s">
        <v>147</v>
      </c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4"/>
    </row>
    <row r="26" spans="1:16" ht="15" customHeight="1">
      <c r="A26" s="475"/>
      <c r="B26" s="461"/>
      <c r="C26" s="461"/>
      <c r="D26" s="461"/>
      <c r="E26" s="461"/>
      <c r="F26" s="274"/>
      <c r="G26" s="274"/>
      <c r="H26" s="274"/>
      <c r="I26" s="274"/>
      <c r="J26" s="274"/>
      <c r="K26" s="71"/>
      <c r="L26" s="274"/>
      <c r="M26" s="274"/>
      <c r="N26" s="274"/>
      <c r="O26" s="274"/>
      <c r="P26" s="275"/>
    </row>
    <row r="27" spans="1:16" ht="15" customHeight="1">
      <c r="A27" s="467" t="s">
        <v>84</v>
      </c>
      <c r="B27" s="468"/>
      <c r="C27" s="468" t="s">
        <v>136</v>
      </c>
      <c r="D27" s="468"/>
      <c r="E27" s="469" t="s">
        <v>137</v>
      </c>
      <c r="F27" s="469"/>
      <c r="G27" s="468" t="s">
        <v>138</v>
      </c>
      <c r="H27" s="468"/>
      <c r="I27" s="469" t="str">
        <f>+I4</f>
        <v>δ = Skin depth at 77,5 kHz</v>
      </c>
      <c r="J27" s="469"/>
      <c r="K27" s="468" t="str">
        <f>+K4</f>
        <v xml:space="preserve">Max effective wire diameter </v>
      </c>
      <c r="L27" s="468"/>
      <c r="M27" s="472" t="str">
        <f>+M4</f>
        <v>DC Resistance of Copper wire</v>
      </c>
      <c r="N27" s="472"/>
      <c r="O27" s="470" t="s">
        <v>145</v>
      </c>
      <c r="P27" s="471"/>
    </row>
    <row r="28" spans="1:16" ht="15" customHeight="1">
      <c r="A28" s="159">
        <f>+A5</f>
        <v>30</v>
      </c>
      <c r="B28" s="155" t="str">
        <f>+B5</f>
        <v>AWG</v>
      </c>
      <c r="C28" s="97">
        <f>+C5</f>
        <v>0.25459999999999999</v>
      </c>
      <c r="D28" s="152" t="s">
        <v>10</v>
      </c>
      <c r="E28" s="156">
        <f>+E5</f>
        <v>5.0910420013292143E-2</v>
      </c>
      <c r="F28" s="152" t="s">
        <v>139</v>
      </c>
      <c r="G28" s="98">
        <f>+'Ferrite Rod'!K18</f>
        <v>4.2501011176066408</v>
      </c>
      <c r="H28" s="152" t="s">
        <v>140</v>
      </c>
      <c r="I28" s="97">
        <f>+I5</f>
        <v>0.23419999999999999</v>
      </c>
      <c r="J28" s="152" t="s">
        <v>10</v>
      </c>
      <c r="K28" s="97">
        <f>+K5</f>
        <v>0.46839999999999998</v>
      </c>
      <c r="L28" s="152" t="s">
        <v>10</v>
      </c>
      <c r="M28" s="253">
        <f>+O28*G28/E28</f>
        <v>1.4008271142689344</v>
      </c>
      <c r="N28" s="152" t="s">
        <v>2</v>
      </c>
      <c r="O28" s="97">
        <f>+O5</f>
        <v>1.678E-2</v>
      </c>
      <c r="P28" s="160" t="s">
        <v>146</v>
      </c>
    </row>
    <row r="29" spans="1:16" ht="15" customHeight="1">
      <c r="A29" s="3"/>
      <c r="B29" s="274"/>
      <c r="C29" s="71"/>
      <c r="D29" s="274"/>
      <c r="E29" s="274"/>
      <c r="F29" s="71"/>
      <c r="G29" s="139"/>
      <c r="H29" s="71"/>
      <c r="I29" s="274"/>
      <c r="J29" s="71"/>
      <c r="K29" s="274"/>
      <c r="L29" s="239"/>
      <c r="M29" s="239"/>
      <c r="N29" s="239"/>
      <c r="O29" s="239"/>
      <c r="P29" s="240"/>
    </row>
    <row r="30" spans="1:16" ht="15" customHeight="1">
      <c r="A30" s="140"/>
      <c r="B30" s="388" t="s">
        <v>159</v>
      </c>
      <c r="C30" s="388"/>
      <c r="D30" s="141">
        <f>+D7</f>
        <v>622.30669562916546</v>
      </c>
      <c r="E30" s="272" t="s">
        <v>2</v>
      </c>
      <c r="F30" s="270" t="s">
        <v>188</v>
      </c>
      <c r="G30" s="181">
        <f>+G7</f>
        <v>77.5</v>
      </c>
      <c r="H30" s="274" t="str">
        <f>+H7</f>
        <v xml:space="preserve"> kHz</v>
      </c>
      <c r="I30" s="461" t="s">
        <v>141</v>
      </c>
      <c r="J30" s="461"/>
      <c r="K30" s="274"/>
      <c r="L30" s="157"/>
      <c r="M30" s="461" t="s">
        <v>184</v>
      </c>
      <c r="N30" s="461"/>
      <c r="O30" s="461"/>
      <c r="P30" s="462"/>
    </row>
    <row r="31" spans="1:16" ht="15" customHeight="1">
      <c r="A31" s="140"/>
      <c r="B31" s="136"/>
      <c r="C31" s="274"/>
      <c r="D31" s="274"/>
      <c r="E31" s="274"/>
      <c r="F31" s="274"/>
      <c r="G31" s="274"/>
      <c r="H31" s="157"/>
      <c r="I31" s="274"/>
      <c r="J31" s="270" t="s">
        <v>163</v>
      </c>
      <c r="K31" s="170"/>
      <c r="L31" s="157"/>
      <c r="M31" s="270"/>
      <c r="N31" s="464" t="str">
        <f>+N8</f>
        <v>Copper</v>
      </c>
      <c r="O31" s="464"/>
      <c r="P31" s="129"/>
    </row>
    <row r="32" spans="1:16" ht="15" customHeight="1">
      <c r="A32" s="140"/>
      <c r="B32" s="71" t="s">
        <v>158</v>
      </c>
      <c r="C32" s="71" t="s">
        <v>149</v>
      </c>
      <c r="D32" s="274"/>
      <c r="E32" s="142">
        <f>+D30/M28</f>
        <v>444.2423260445924</v>
      </c>
      <c r="F32" s="274" t="str">
        <f>+F9</f>
        <v>at Resonance Frequency 77,5 kHz</v>
      </c>
      <c r="G32" s="274"/>
      <c r="H32" s="157"/>
      <c r="I32" s="274"/>
      <c r="J32" s="271">
        <f>+C28/2</f>
        <v>0.1273</v>
      </c>
      <c r="K32" s="274" t="str">
        <f>+K9</f>
        <v>Effective cross section of the wire is when the radius is equal to the skin depth</v>
      </c>
      <c r="L32" s="157"/>
      <c r="M32" s="157"/>
      <c r="N32" s="157"/>
      <c r="O32" s="157"/>
      <c r="P32" s="241"/>
    </row>
    <row r="33" spans="1:17" ht="15" customHeight="1">
      <c r="A33" s="140"/>
      <c r="B33" s="274"/>
      <c r="C33" s="274"/>
      <c r="D33" s="128"/>
      <c r="E33" s="128"/>
      <c r="F33" s="274"/>
      <c r="G33" s="128"/>
      <c r="H33" s="157"/>
      <c r="I33" s="274"/>
      <c r="J33" s="274"/>
      <c r="K33" s="128"/>
      <c r="L33" s="157"/>
      <c r="M33" s="157"/>
      <c r="N33" s="157"/>
      <c r="O33" s="157"/>
      <c r="P33" s="241"/>
    </row>
    <row r="34" spans="1:17" ht="15" customHeight="1">
      <c r="A34" s="140"/>
      <c r="B34" s="8" t="str">
        <f>+B11</f>
        <v>A frequency of 77,5 kHz has a skin depth of 0,2342 mm in Copper</v>
      </c>
      <c r="C34" s="8"/>
      <c r="D34" s="8"/>
      <c r="E34" s="8"/>
      <c r="F34" s="8"/>
      <c r="G34" s="8"/>
      <c r="H34" s="157"/>
      <c r="I34" s="460" t="str">
        <f>+I27</f>
        <v>δ = Skin depth at 77,5 kHz</v>
      </c>
      <c r="J34" s="460"/>
      <c r="K34" s="274" t="str">
        <f>+K11</f>
        <v>The selected Copper wire has the following data:  Maksimal frequency 285,576 kHz</v>
      </c>
      <c r="L34" s="157"/>
      <c r="M34" s="157"/>
      <c r="N34" s="157"/>
      <c r="O34" s="157"/>
      <c r="P34" s="241"/>
    </row>
    <row r="35" spans="1:17" ht="15" customHeight="1">
      <c r="A35" s="140"/>
      <c r="B35" s="274"/>
      <c r="C35" s="274"/>
      <c r="D35" s="274"/>
      <c r="E35" s="274"/>
      <c r="F35" s="274"/>
      <c r="G35" s="274"/>
      <c r="H35" s="157"/>
      <c r="I35" s="274"/>
      <c r="J35" s="271">
        <f>+I28</f>
        <v>0.23419999999999999</v>
      </c>
      <c r="K35" s="274"/>
      <c r="L35" s="157"/>
      <c r="M35" s="157"/>
      <c r="N35" s="157"/>
      <c r="O35" s="157"/>
      <c r="P35" s="241"/>
    </row>
    <row r="36" spans="1:17" ht="15" customHeight="1">
      <c r="A36" s="140"/>
      <c r="B36" s="274" t="s">
        <v>170</v>
      </c>
      <c r="C36" s="274"/>
      <c r="D36" s="274"/>
      <c r="E36" s="274"/>
      <c r="F36" s="274"/>
      <c r="G36" s="274"/>
      <c r="H36" s="157"/>
      <c r="I36" s="271"/>
      <c r="J36" s="274"/>
      <c r="K36" s="274" t="str">
        <f>+K13</f>
        <v>Skin depth at 63% 0,122 mm</v>
      </c>
      <c r="L36" s="157"/>
      <c r="M36" s="157"/>
      <c r="N36" s="157" t="str">
        <f>+N13</f>
        <v>Maksimal frequency 285,576 kHz</v>
      </c>
      <c r="O36" s="157"/>
      <c r="P36" s="241"/>
    </row>
    <row r="37" spans="1:17" ht="15" customHeight="1">
      <c r="A37" s="140"/>
      <c r="B37" s="143"/>
      <c r="C37" s="143"/>
      <c r="D37" s="143"/>
      <c r="E37" s="143"/>
      <c r="F37" s="143"/>
      <c r="G37" s="143"/>
      <c r="H37" s="157"/>
      <c r="I37" s="274"/>
      <c r="J37" s="274"/>
      <c r="K37" s="274"/>
      <c r="L37" s="157"/>
      <c r="M37" s="157"/>
      <c r="N37" s="157"/>
      <c r="O37" s="157"/>
      <c r="P37" s="241"/>
    </row>
    <row r="38" spans="1:17" ht="15" customHeight="1">
      <c r="A38" s="140"/>
      <c r="B38" s="144" t="s">
        <v>171</v>
      </c>
      <c r="C38" s="143"/>
      <c r="D38" s="143"/>
      <c r="E38" s="143"/>
      <c r="F38" s="143"/>
      <c r="G38" s="143"/>
      <c r="H38" s="157"/>
      <c r="I38" s="274"/>
      <c r="J38" s="274"/>
      <c r="K38" s="145" t="str">
        <f>+K15</f>
        <v>The selected wire is OK</v>
      </c>
      <c r="L38" s="157"/>
      <c r="M38" s="410"/>
      <c r="N38" s="410"/>
      <c r="O38" s="410"/>
      <c r="P38" s="383"/>
    </row>
    <row r="39" spans="1:17" ht="15" customHeight="1">
      <c r="A39" s="140"/>
      <c r="B39" s="274"/>
      <c r="C39" s="274"/>
      <c r="D39" s="71"/>
      <c r="E39" s="71"/>
      <c r="F39" s="71"/>
      <c r="G39" s="71"/>
      <c r="H39" s="157"/>
      <c r="I39" s="274"/>
      <c r="J39" s="274"/>
      <c r="K39" s="274"/>
      <c r="L39" s="157"/>
      <c r="M39" s="377"/>
      <c r="N39" s="157"/>
      <c r="O39" s="157"/>
      <c r="P39" s="241"/>
    </row>
    <row r="40" spans="1:17" ht="15" customHeight="1">
      <c r="A40" s="140"/>
      <c r="B40" s="71" t="s">
        <v>172</v>
      </c>
      <c r="C40" s="274"/>
      <c r="D40" s="128"/>
      <c r="E40" s="128"/>
      <c r="F40" s="146"/>
      <c r="G40" s="132"/>
      <c r="H40" s="157"/>
      <c r="I40" s="274"/>
      <c r="J40" s="274"/>
      <c r="K40" s="147"/>
      <c r="L40" s="157"/>
      <c r="M40" s="410" t="s">
        <v>258</v>
      </c>
      <c r="N40" s="410"/>
      <c r="O40" s="410"/>
      <c r="P40" s="383"/>
    </row>
    <row r="41" spans="1:17" ht="15" customHeight="1">
      <c r="A41" s="140"/>
      <c r="B41" s="274"/>
      <c r="C41" s="274"/>
      <c r="D41" s="274"/>
      <c r="E41" s="274"/>
      <c r="F41" s="274"/>
      <c r="G41" s="274"/>
      <c r="H41" s="157"/>
      <c r="I41" s="274"/>
      <c r="J41" s="274"/>
      <c r="K41" s="147"/>
      <c r="L41" s="157"/>
      <c r="M41" s="377"/>
      <c r="N41" s="157"/>
      <c r="O41" s="157"/>
      <c r="P41" s="241"/>
    </row>
    <row r="42" spans="1:17" ht="15" customHeight="1">
      <c r="A42" s="140"/>
      <c r="B42" s="71" t="str">
        <f>+B19</f>
        <v>of the conductor. Calculation here applies to Copper.</v>
      </c>
      <c r="C42" s="274"/>
      <c r="D42" s="274"/>
      <c r="E42" s="274"/>
      <c r="F42" s="274"/>
      <c r="G42" s="274"/>
      <c r="H42" s="157"/>
      <c r="I42" s="274"/>
      <c r="J42" s="274"/>
      <c r="K42" s="147"/>
      <c r="L42" s="157"/>
      <c r="M42" s="408" t="s">
        <v>259</v>
      </c>
      <c r="N42" s="408"/>
      <c r="O42" s="408"/>
      <c r="P42" s="385"/>
    </row>
    <row r="43" spans="1:17" ht="15" customHeight="1">
      <c r="A43" s="140"/>
      <c r="B43" s="157"/>
      <c r="C43" s="157"/>
      <c r="D43" s="157"/>
      <c r="E43" s="157"/>
      <c r="F43" s="157"/>
      <c r="G43" s="157"/>
      <c r="H43" s="157"/>
      <c r="I43" s="274"/>
      <c r="J43" s="274"/>
      <c r="K43" s="145"/>
      <c r="L43" s="157"/>
      <c r="M43" s="377"/>
      <c r="N43" s="157"/>
      <c r="O43" s="157"/>
      <c r="P43" s="241"/>
    </row>
    <row r="44" spans="1:17" ht="15" customHeight="1">
      <c r="A44" s="140"/>
      <c r="B44" s="162"/>
      <c r="C44" s="157"/>
      <c r="D44" s="157"/>
      <c r="E44" s="157"/>
      <c r="F44" s="157"/>
      <c r="G44" s="157"/>
      <c r="H44" s="157"/>
      <c r="I44" s="274"/>
      <c r="J44" s="274"/>
      <c r="K44" s="266"/>
      <c r="L44" s="157"/>
      <c r="M44" s="409" t="s">
        <v>260</v>
      </c>
      <c r="N44" s="409"/>
      <c r="O44" s="409"/>
      <c r="P44" s="387"/>
    </row>
    <row r="45" spans="1:17" ht="15" customHeight="1">
      <c r="A45" s="140"/>
      <c r="B45" s="157"/>
      <c r="C45" s="157"/>
      <c r="D45" s="157"/>
      <c r="E45" s="157"/>
      <c r="F45" s="157"/>
      <c r="G45" s="157"/>
      <c r="H45" s="157"/>
      <c r="I45" s="274"/>
      <c r="J45" s="274"/>
      <c r="K45" s="274"/>
      <c r="L45" s="157"/>
      <c r="M45" s="157"/>
      <c r="N45" s="157"/>
      <c r="O45" s="157"/>
      <c r="P45" s="241"/>
    </row>
    <row r="46" spans="1:17" ht="15" customHeight="1" thickBot="1">
      <c r="A46" s="375" t="s">
        <v>15</v>
      </c>
      <c r="B46" s="158"/>
      <c r="C46" s="158"/>
      <c r="D46" s="158"/>
      <c r="E46" s="158"/>
      <c r="F46" s="158"/>
      <c r="G46" s="158"/>
      <c r="H46" s="158"/>
      <c r="I46" s="10"/>
      <c r="J46" s="10"/>
      <c r="K46" s="10"/>
      <c r="L46" s="158"/>
      <c r="M46" s="158"/>
      <c r="N46" s="158"/>
      <c r="O46" s="158"/>
      <c r="P46" s="378" t="s">
        <v>261</v>
      </c>
    </row>
    <row r="47" spans="1:17" ht="1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ht="1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ht="1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ht="1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ht="15" customHeight="1"/>
    <row r="52" spans="1:17" ht="15" customHeight="1"/>
  </sheetData>
  <mergeCells count="37">
    <mergeCell ref="N8:O8"/>
    <mergeCell ref="M7:P7"/>
    <mergeCell ref="M30:P30"/>
    <mergeCell ref="I7:J7"/>
    <mergeCell ref="G4:H4"/>
    <mergeCell ref="I4:J4"/>
    <mergeCell ref="K4:L4"/>
    <mergeCell ref="M4:N4"/>
    <mergeCell ref="B7:C7"/>
    <mergeCell ref="B30:C30"/>
    <mergeCell ref="A26:E26"/>
    <mergeCell ref="G27:H27"/>
    <mergeCell ref="C9:D9"/>
    <mergeCell ref="I11:J11"/>
    <mergeCell ref="I34:J34"/>
    <mergeCell ref="I27:J27"/>
    <mergeCell ref="A24:P24"/>
    <mergeCell ref="A25:P25"/>
    <mergeCell ref="K27:L27"/>
    <mergeCell ref="M27:N27"/>
    <mergeCell ref="O27:P27"/>
    <mergeCell ref="A27:B27"/>
    <mergeCell ref="I30:J30"/>
    <mergeCell ref="N31:O31"/>
    <mergeCell ref="A2:P2"/>
    <mergeCell ref="A4:B4"/>
    <mergeCell ref="C4:D4"/>
    <mergeCell ref="E4:F4"/>
    <mergeCell ref="A1:P1"/>
    <mergeCell ref="A3:E3"/>
    <mergeCell ref="O4:P4"/>
    <mergeCell ref="M38:P38"/>
    <mergeCell ref="M40:P40"/>
    <mergeCell ref="M42:P42"/>
    <mergeCell ref="M44:P44"/>
    <mergeCell ref="C27:D27"/>
    <mergeCell ref="E27:F27"/>
  </mergeCells>
  <hyperlinks>
    <hyperlink ref="B21" r:id="rId1"/>
    <hyperlink ref="M42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Resonance</vt:lpstr>
      <vt:lpstr>Ferrite Rod</vt:lpstr>
      <vt:lpstr>Skin Effekt R</vt:lpstr>
      <vt:lpstr>Skin Effekt FR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dcterms:created xsi:type="dcterms:W3CDTF">2008-11-06T15:31:25Z</dcterms:created>
  <dcterms:modified xsi:type="dcterms:W3CDTF">2018-09-19T20:11:48Z</dcterms:modified>
</cp:coreProperties>
</file>