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20100" windowHeight="8760"/>
  </bookViews>
  <sheets>
    <sheet name="Vægtfylde" sheetId="2" r:id="rId1"/>
    <sheet name="Kapacitet" sheetId="3" r:id="rId2"/>
    <sheet name="Ladespænding" sheetId="1" r:id="rId3"/>
    <sheet name="Cellespænding" sheetId="5" r:id="rId4"/>
    <sheet name="Info" sheetId="6" r:id="rId5"/>
    <sheet name="Log" sheetId="7" r:id="rId6"/>
  </sheets>
  <calcPr calcId="125725"/>
</workbook>
</file>

<file path=xl/calcChain.xml><?xml version="1.0" encoding="utf-8"?>
<calcChain xmlns="http://schemas.openxmlformats.org/spreadsheetml/2006/main">
  <c r="N13" i="7"/>
  <c r="H15" i="6"/>
  <c r="M22"/>
  <c r="P9" i="7"/>
  <c r="R25" s="1"/>
  <c r="R26" s="1"/>
  <c r="J11"/>
  <c r="I11"/>
  <c r="O11" s="1"/>
  <c r="G9"/>
  <c r="C9"/>
  <c r="E31" i="6"/>
  <c r="E60" s="1"/>
  <c r="L24"/>
  <c r="H24"/>
  <c r="D24" s="1"/>
  <c r="G11" i="7" s="1"/>
  <c r="B59" i="6"/>
  <c r="P20"/>
  <c r="Q25" i="7" s="1"/>
  <c r="O31" i="6"/>
  <c r="O60" s="1"/>
  <c r="K31"/>
  <c r="K60" s="1"/>
  <c r="G31"/>
  <c r="G60" s="1"/>
  <c r="B31"/>
  <c r="B60" s="1"/>
  <c r="N16" l="1"/>
  <c r="H22" s="1"/>
  <c r="F16"/>
  <c r="O22" s="1"/>
  <c r="P11" i="7"/>
  <c r="I9"/>
  <c r="C11"/>
  <c r="M31" i="6"/>
  <c r="I31"/>
  <c r="Q31" s="1"/>
  <c r="Q60" s="1"/>
  <c r="W26"/>
  <c r="W13" i="3"/>
  <c r="W12"/>
  <c r="W13" i="2"/>
  <c r="W12"/>
  <c r="N3" i="5"/>
  <c r="W11"/>
  <c r="F13" i="7" l="1"/>
  <c r="L11" s="1"/>
  <c r="O9"/>
  <c r="D29"/>
  <c r="M60" i="6"/>
  <c r="Q26" i="7"/>
  <c r="N29" s="1"/>
  <c r="I60" i="6"/>
  <c r="H26"/>
  <c r="G26"/>
  <c r="F26"/>
  <c r="E26"/>
  <c r="W28"/>
  <c r="M26"/>
  <c r="M28" s="1"/>
  <c r="K26"/>
  <c r="K28" s="1"/>
  <c r="I26"/>
  <c r="I27" s="1"/>
  <c r="L26"/>
  <c r="L27" s="1"/>
  <c r="J26"/>
  <c r="U26"/>
  <c r="U28" s="1"/>
  <c r="T26"/>
  <c r="T27" s="1"/>
  <c r="T29" s="1"/>
  <c r="S26"/>
  <c r="S27" s="1"/>
  <c r="S29" s="1"/>
  <c r="N26"/>
  <c r="N27" s="1"/>
  <c r="N29" s="1"/>
  <c r="V26"/>
  <c r="V27" s="1"/>
  <c r="V29" s="1"/>
  <c r="Q26"/>
  <c r="W27"/>
  <c r="W29" s="1"/>
  <c r="O26"/>
  <c r="P26"/>
  <c r="R26"/>
  <c r="N3" i="1"/>
  <c r="B3" s="1"/>
  <c r="W11"/>
  <c r="B3" i="5"/>
  <c r="I2" i="1"/>
  <c r="I2" i="5"/>
  <c r="R5" i="2"/>
  <c r="L9" i="7" l="1"/>
  <c r="F28" i="6"/>
  <c r="F27"/>
  <c r="F29" s="1"/>
  <c r="G28"/>
  <c r="G27"/>
  <c r="G29" s="1"/>
  <c r="H28"/>
  <c r="H27"/>
  <c r="H29" s="1"/>
  <c r="E28"/>
  <c r="E27"/>
  <c r="E29" s="1"/>
  <c r="K27"/>
  <c r="K29" s="1"/>
  <c r="U27"/>
  <c r="U29" s="1"/>
  <c r="T28"/>
  <c r="S28"/>
  <c r="N28"/>
  <c r="M27"/>
  <c r="M29" s="1"/>
  <c r="V28"/>
  <c r="L29"/>
  <c r="L28"/>
  <c r="J28"/>
  <c r="J27"/>
  <c r="J29" s="1"/>
  <c r="P27"/>
  <c r="P29" s="1"/>
  <c r="P28"/>
  <c r="Q28"/>
  <c r="Q27"/>
  <c r="Q29" s="1"/>
  <c r="O28"/>
  <c r="O27"/>
  <c r="O29" s="1"/>
  <c r="R28"/>
  <c r="R27"/>
  <c r="R29" s="1"/>
  <c r="N2" i="2"/>
  <c r="R2"/>
  <c r="E3" i="5"/>
  <c r="J3"/>
  <c r="N5"/>
  <c r="N2" s="1"/>
  <c r="L3"/>
  <c r="I3"/>
  <c r="H3"/>
  <c r="G3"/>
  <c r="F3"/>
  <c r="K3"/>
  <c r="R4"/>
  <c r="N5" i="1"/>
  <c r="N2" s="1"/>
  <c r="I29" i="6" l="1"/>
  <c r="I28"/>
  <c r="F3" i="1"/>
  <c r="K3"/>
  <c r="L3"/>
  <c r="J3"/>
  <c r="I3"/>
  <c r="H3"/>
  <c r="G3"/>
  <c r="E3"/>
  <c r="F14" i="6"/>
  <c r="O18" s="1"/>
  <c r="M18"/>
  <c r="N14"/>
  <c r="H18" s="1"/>
</calcChain>
</file>

<file path=xl/sharedStrings.xml><?xml version="1.0" encoding="utf-8"?>
<sst xmlns="http://schemas.openxmlformats.org/spreadsheetml/2006/main" count="251" uniqueCount="160">
  <si>
    <t>Volt</t>
  </si>
  <si>
    <t>Batteri type</t>
  </si>
  <si>
    <t>Celle(r) i dit batteri</t>
  </si>
  <si>
    <t>Korrektionsberegning af ladespændingen som funktion af syre temperaturen</t>
  </si>
  <si>
    <t>°C</t>
  </si>
  <si>
    <t>målt temperatur</t>
  </si>
  <si>
    <r>
      <t xml:space="preserve">Volt/Celle ved 30 </t>
    </r>
    <r>
      <rPr>
        <sz val="11"/>
        <color theme="1"/>
        <rFont val="Calibri"/>
        <family val="2"/>
      </rPr>
      <t>°C</t>
    </r>
  </si>
  <si>
    <t>walter</t>
  </si>
  <si>
    <r>
      <t>V/</t>
    </r>
    <r>
      <rPr>
        <sz val="11"/>
        <rFont val="Calibri"/>
        <family val="2"/>
      </rPr>
      <t>°C</t>
    </r>
  </si>
  <si>
    <t>Korrektionsberegning af vægtfylden som funktion af syre temperaturen</t>
  </si>
  <si>
    <t>Vfnominel =</t>
  </si>
  <si>
    <t>Kg/L</t>
  </si>
  <si>
    <r>
      <t xml:space="preserve">Vfnominel er den vægtfylde, cellen ville have haft, hvis temperaturen havde været 30 </t>
    </r>
    <r>
      <rPr>
        <sz val="11"/>
        <color theme="1"/>
        <rFont val="Calibri"/>
        <family val="2"/>
      </rPr>
      <t>°C</t>
    </r>
  </si>
  <si>
    <t>Korrektions faktor K1</t>
  </si>
  <si>
    <t>Korrektions faktor K4</t>
  </si>
  <si>
    <t>Celle(r) i batteriet</t>
  </si>
  <si>
    <t xml:space="preserve"> Volt </t>
  </si>
  <si>
    <t xml:space="preserve"> °C</t>
  </si>
  <si>
    <t>volt</t>
  </si>
  <si>
    <t xml:space="preserve">Syre temperatur </t>
  </si>
  <si>
    <t>Vkorrektion</t>
  </si>
  <si>
    <t>If you want the password to the spreadsheet, send me an email.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</si>
  <si>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</si>
  <si>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 xml:space="preserve">www.walter-lystfisker.dk </t>
  </si>
  <si>
    <t>COPYRIGHT © 2014</t>
  </si>
  <si>
    <t>Temperaturens indflydelse på ladespændingen. Når temperaturen falder skal ladespændingen stige</t>
  </si>
  <si>
    <t>Korrektionsberegning af cellespændigen som funktion af syre temperaturen</t>
  </si>
  <si>
    <r>
      <t xml:space="preserve">2,13 + (K4*(Tmålt - 30 </t>
    </r>
    <r>
      <rPr>
        <sz val="11"/>
        <color theme="1"/>
        <rFont val="Calibri"/>
        <family val="2"/>
      </rPr>
      <t>°)) =</t>
    </r>
  </si>
  <si>
    <t>Cellespænding ved</t>
  </si>
  <si>
    <t>Indsæt nominel cellespænding fra listen</t>
  </si>
  <si>
    <t>Indsæt nominel batterispænding fra listen</t>
  </si>
  <si>
    <t>Vkorrektion =</t>
  </si>
  <si>
    <t>Temperaturens indflydelse på cellespændingen (fuldt opladt). Når temperaturen falder stiger spændingen</t>
  </si>
  <si>
    <t>Temperaturens indflydelse på syrens vægtfylden (fuldt opladt). Når temperaturen falder stiger vægtfylden</t>
  </si>
  <si>
    <t xml:space="preserve">Vægtfylde </t>
  </si>
  <si>
    <r>
      <t>Kg/L/</t>
    </r>
    <r>
      <rPr>
        <sz val="11"/>
        <rFont val="Calibri"/>
        <family val="2"/>
      </rPr>
      <t>°C</t>
    </r>
  </si>
  <si>
    <r>
      <t xml:space="preserve">Vfmålt + (K1*(Tmålt - 30 </t>
    </r>
    <r>
      <rPr>
        <sz val="11"/>
        <color theme="1"/>
        <rFont val="Calibri"/>
        <family val="2"/>
      </rPr>
      <t>°C)) =</t>
    </r>
  </si>
  <si>
    <t>Tmålt</t>
  </si>
  <si>
    <t>Vfmålt</t>
  </si>
  <si>
    <t xml:space="preserve"> ved </t>
  </si>
  <si>
    <t xml:space="preserve"> Kg/L</t>
  </si>
  <si>
    <r>
      <t xml:space="preserve">Vfnominel ved 30 </t>
    </r>
    <r>
      <rPr>
        <sz val="11"/>
        <color theme="1"/>
        <rFont val="Calibri"/>
        <family val="2"/>
      </rPr>
      <t xml:space="preserve">°C </t>
    </r>
  </si>
  <si>
    <t>Korrektions faktor K3</t>
  </si>
  <si>
    <r>
      <t xml:space="preserve">2,4 + (K3*(30 </t>
    </r>
    <r>
      <rPr>
        <sz val="11"/>
        <color theme="1"/>
        <rFont val="Calibri"/>
        <family val="2"/>
      </rPr>
      <t>°C-Tmålt)) =</t>
    </r>
  </si>
  <si>
    <t xml:space="preserve">http://conversion1.smartequip.net/manufacturers/TOUCAN/OPS_DK/MA0272-01_PAGE_64.swf </t>
  </si>
  <si>
    <t xml:space="preserve">http://www.campingferie.dk/2004Design/forumThread.asp?postGuid=714741 </t>
  </si>
  <si>
    <t>Temperaturens indflydelse på batteriets kapacitet. Når temperaturen falder, bliver batteriets kapacitet mindre</t>
  </si>
  <si>
    <t>%</t>
  </si>
  <si>
    <t xml:space="preserve">Batteriets kapacitet </t>
  </si>
  <si>
    <t>Årsagen er, at viskositeten ved minus grader er meget højere end ved plus grader. Diffusionen i syren bliver træg både ved afladning og opladning. Derved falder batteriets kapacitet</t>
  </si>
  <si>
    <t>Ladespænding   ved</t>
  </si>
  <si>
    <t>Ah</t>
  </si>
  <si>
    <t xml:space="preserve">https://en.wikipedia.org/wiki/Automotive_battery </t>
  </si>
  <si>
    <t xml:space="preserve">https://en.wikipedia.org/wiki/Deep_cycle_battery </t>
  </si>
  <si>
    <t xml:space="preserve">https://en.wikipedia.org/wiki/Peukert%27s_law </t>
  </si>
  <si>
    <t>C = Batterikapacitet [A*h]</t>
  </si>
  <si>
    <t>I = Afladestrøm [A]</t>
  </si>
  <si>
    <t>H = Afladetid [timer]</t>
  </si>
  <si>
    <t>k = Peukert konstant</t>
  </si>
  <si>
    <t>timer</t>
  </si>
  <si>
    <t xml:space="preserve">https://en.wikipedia.org/wiki/VRLA_battery </t>
  </si>
  <si>
    <t xml:space="preserve">https://en.wikipedia.org/wiki/Battery_electric_vehicle </t>
  </si>
  <si>
    <t>kan omskrives til</t>
  </si>
  <si>
    <t>Til beregning af Batterikapacitet C = [Ah], afladestrøm I = [A] og afladetiden H = [timer], anvendes den modificerede Peukerts lov, hvor k er Peukerts konstant, som er afhængig af batteritype:</t>
  </si>
  <si>
    <t>Følgende definitioner anvendes</t>
  </si>
  <si>
    <t>[Ah]</t>
  </si>
  <si>
    <t xml:space="preserve"> [A]</t>
  </si>
  <si>
    <t xml:space="preserve"> [timer]</t>
  </si>
  <si>
    <t>[k]</t>
  </si>
  <si>
    <t>Peukert konstant</t>
  </si>
  <si>
    <t>Følgende k værdier anvendes</t>
  </si>
  <si>
    <t>Batteritype vælg værdien k</t>
  </si>
  <si>
    <t xml:space="preserve">http://www.smartgauge.co.uk/peukert_depth.html </t>
  </si>
  <si>
    <t xml:space="preserve">H = Afladetid </t>
  </si>
  <si>
    <t xml:space="preserve">I = Afladestrøm </t>
  </si>
  <si>
    <t>C = Batterikapacitet</t>
  </si>
  <si>
    <t>batteri</t>
  </si>
  <si>
    <t>med afladestrøm på</t>
  </si>
  <si>
    <t>timer afladetid</t>
  </si>
  <si>
    <t>A     og</t>
  </si>
  <si>
    <t>Skal batteriet yde en større strøm end den nominelle (5 A), på en kortere tid end 20 timer, så har batteriet ikke længere den anvendelige kapacitet [Ah] til rådighed. Værdien  falder progressivt med tiden.</t>
  </si>
  <si>
    <r>
      <rPr>
        <sz val="11"/>
        <color rgb="FFFF0000"/>
        <rFont val="Calibri"/>
        <family val="2"/>
        <scheme val="minor"/>
      </rPr>
      <t>AGM</t>
    </r>
    <r>
      <rPr>
        <sz val="11"/>
        <color theme="1"/>
        <rFont val="Calibri"/>
        <family val="2"/>
        <scheme val="minor"/>
      </rPr>
      <t xml:space="preserve"> fra 1,05 til 1,15</t>
    </r>
  </si>
  <si>
    <r>
      <rPr>
        <sz val="11"/>
        <color rgb="FFFF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bsorbed </t>
    </r>
    <r>
      <rPr>
        <sz val="11"/>
        <color rgb="FFFF0000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lass </t>
    </r>
    <r>
      <rPr>
        <sz val="11"/>
        <color rgb="FFFF0000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at</t>
    </r>
  </si>
  <si>
    <r>
      <rPr>
        <sz val="11"/>
        <color rgb="FFFF0000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EL fra 1,1 til 1,25</t>
    </r>
  </si>
  <si>
    <r>
      <rPr>
        <sz val="11"/>
        <color rgb="FFFF0000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ele</t>
    </r>
  </si>
  <si>
    <r>
      <rPr>
        <sz val="11"/>
        <color rgb="FFFF0000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RLA fra 1,2 til 1,6</t>
    </r>
  </si>
  <si>
    <r>
      <rPr>
        <sz val="11"/>
        <color rgb="FFFF0000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edligeholdelsesfrit batteri</t>
    </r>
  </si>
  <si>
    <r>
      <rPr>
        <sz val="11"/>
        <color rgb="FFFF0000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ly/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yre fra 1,1 til 1,3</t>
    </r>
  </si>
  <si>
    <r>
      <rPr>
        <sz val="11"/>
        <color rgb="FFFF0000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ly og 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vovlsyre/destilleret vand</t>
    </r>
  </si>
  <si>
    <t>Reg. No. 1275</t>
  </si>
  <si>
    <t>Se også disse website</t>
  </si>
  <si>
    <t>Default data input for brugeren</t>
  </si>
  <si>
    <r>
      <t>Capacity (C</t>
    </r>
    <r>
      <rPr>
        <vertAlign val="subscript"/>
        <sz val="10"/>
        <rFont val="Arial"/>
        <family val="2"/>
      </rPr>
      <t>1</t>
    </r>
    <r>
      <rPr>
        <sz val="11"/>
        <color theme="1"/>
        <rFont val="Calibri"/>
        <family val="2"/>
        <scheme val="minor"/>
      </rPr>
      <t>)</t>
    </r>
  </si>
  <si>
    <r>
      <t>Capacity (C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>)</t>
    </r>
  </si>
  <si>
    <r>
      <t xml:space="preserve"> </t>
    </r>
    <r>
      <rPr>
        <sz val="11"/>
        <color theme="1"/>
        <rFont val="Calibri"/>
        <family val="2"/>
        <scheme val="minor"/>
      </rPr>
      <t>Ah</t>
    </r>
  </si>
  <si>
    <t>Afladnings strøm [A]</t>
  </si>
  <si>
    <r>
      <t xml:space="preserve">          Log (H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/H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)</t>
    </r>
  </si>
  <si>
    <r>
      <t>Log (C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/H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)-Log(C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</si>
  <si>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afladning med</t>
  </si>
  <si>
    <t>Tid [h]</t>
  </si>
  <si>
    <t>Total [Ah] tilgængelig</t>
  </si>
  <si>
    <t>Her aflæses norm afladestrømmen</t>
  </si>
  <si>
    <t>Indsæt norm værdierne for batteriet, som skal beregnes i gule celler</t>
  </si>
  <si>
    <t>Beregnede resultater indsat i diagram</t>
  </si>
  <si>
    <t>Hvad betyder så dette? Oftest indeholder producentens manual eller websted ikke Peukerts konstant k for batteriet.</t>
  </si>
  <si>
    <t>Alt hvad der behøves er 2 afladningstider og 2 afladningsstrømme. Disse kan enten aflæses direkte i tabellen eller fra grafen.</t>
  </si>
  <si>
    <t>t= tid [timer]</t>
  </si>
  <si>
    <r>
      <t>Afladetid 1 (H</t>
    </r>
    <r>
      <rPr>
        <vertAlign val="subscript"/>
        <sz val="1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)</t>
    </r>
  </si>
  <si>
    <r>
      <t>Afladetid 2 (H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>)</t>
    </r>
  </si>
  <si>
    <t>Peukert's konstant = k</t>
  </si>
  <si>
    <r>
      <t>t1=C*(C/H)</t>
    </r>
    <r>
      <rPr>
        <sz val="11"/>
        <color theme="1"/>
        <rFont val="Calibri"/>
        <family val="2"/>
      </rPr>
      <t>ᵏ⁻¹</t>
    </r>
    <r>
      <rPr>
        <sz val="11"/>
        <color theme="1"/>
        <rFont val="Calibri"/>
        <family val="2"/>
        <scheme val="minor"/>
      </rPr>
      <t>/I</t>
    </r>
    <r>
      <rPr>
        <sz val="11"/>
        <color theme="1"/>
        <rFont val="Calibri"/>
        <family val="2"/>
      </rPr>
      <t>ᵏ</t>
    </r>
    <r>
      <rPr>
        <sz val="11"/>
        <color theme="1"/>
        <rFont val="Calibri"/>
        <family val="2"/>
        <scheme val="minor"/>
      </rPr>
      <t xml:space="preserve"> =</t>
    </r>
  </si>
  <si>
    <r>
      <t>t2=C*(C/H)</t>
    </r>
    <r>
      <rPr>
        <sz val="11"/>
        <color theme="1"/>
        <rFont val="Calibri"/>
        <family val="2"/>
      </rPr>
      <t>ᵏ⁻¹</t>
    </r>
    <r>
      <rPr>
        <sz val="11"/>
        <color theme="1"/>
        <rFont val="Calibri"/>
        <family val="2"/>
        <scheme val="minor"/>
      </rPr>
      <t>/I</t>
    </r>
    <r>
      <rPr>
        <sz val="11"/>
        <color theme="1"/>
        <rFont val="Calibri"/>
        <family val="2"/>
      </rPr>
      <t>ᵏ</t>
    </r>
    <r>
      <rPr>
        <sz val="11"/>
        <color theme="1"/>
        <rFont val="Calibri"/>
        <family val="2"/>
        <scheme val="minor"/>
      </rPr>
      <t xml:space="preserve"> =</t>
    </r>
  </si>
  <si>
    <t>Lad os kalde dette batteriets "omdrejnings" punktet ved 5 A.</t>
  </si>
  <si>
    <t>En matematisk analyse bagved Peukerts ligning (Peukerts lov)</t>
  </si>
  <si>
    <t>Herunder indsættes en ny afladestrøm</t>
  </si>
  <si>
    <t>C1 cellekapaciteten som funktion af forbruget på et</t>
  </si>
  <si>
    <t>C1:</t>
  </si>
  <si>
    <t>C2:</t>
  </si>
  <si>
    <t>H1:</t>
  </si>
  <si>
    <t>H2:</t>
  </si>
  <si>
    <t>Det samme batteri hvor afladestrømmen er ændret til:</t>
  </si>
  <si>
    <t>A</t>
  </si>
  <si>
    <t>Beregnede værdier for batteriet med ny afladestrøm</t>
  </si>
  <si>
    <t>Batteritype som overfor</t>
  </si>
  <si>
    <t>Peukerts korrigerede amp. Ip</t>
  </si>
  <si>
    <t>men den endelige batterikapacitet beregnet med begge ligninger vil være identiske, fordi batteriet kapacitet er blevet angivet forskelligt i hvert enkelt tilfælde.</t>
  </si>
  <si>
    <t xml:space="preserve">Batterikapacitet 1 = H1 * Afladestrøm 1 = </t>
  </si>
  <si>
    <t xml:space="preserve">Batterikapacitet 2 = H2 * Peukerts korrigerede afladestrøm  = </t>
  </si>
  <si>
    <t>som svarer til batteriets kapacitet, divideret med afladetiden dvs. C /H. På grund af dette vil Peukerts korrigerede ampere (IP) være forskellig i hvert enkelt tilfælde her:</t>
  </si>
  <si>
    <t>Men der er ofte en graf, der viser afladningstid mod afladningsstrøm. Eller undertiden en tabel, der viser tilgængelige afladningstider ved forskellige afladningsstrømme.</t>
  </si>
  <si>
    <t>Denne information kan bruges til at beregne Peukerts konstant for batteritype.</t>
  </si>
  <si>
    <t>Ip</t>
  </si>
  <si>
    <t>I</t>
  </si>
  <si>
    <t>[A]</t>
  </si>
  <si>
    <t>Antag at et batteridatablad viser en kapacitet på 100 Ah og 20 timer eller 65,98 Ah og 3,30 timer, dvs. 100 Ah @ 20 timer eller 65,98 Ah @ 3,30 timer, så taler vi om det samme batteri.</t>
  </si>
  <si>
    <t>Forskellen ligger i, at det første sæt data aflader med 5 A, og det andet sæt data med 20 A. Jeg har valgt disse værdier, efter som jeg har beregnet dem på Ark Info, så det gør kontrollen med formlen lettere.</t>
  </si>
  <si>
    <r>
      <t>Peukerts lov: t=H*(C/(I*H))</t>
    </r>
    <r>
      <rPr>
        <sz val="11"/>
        <color theme="1"/>
        <rFont val="Calibri"/>
        <family val="2"/>
      </rPr>
      <t>ᵏ</t>
    </r>
    <r>
      <rPr>
        <sz val="11"/>
        <color theme="1"/>
        <rFont val="Calibri"/>
        <family val="2"/>
        <scheme val="minor"/>
      </rPr>
      <t xml:space="preserve"> =</t>
    </r>
  </si>
  <si>
    <r>
      <t>Peukerts lov: I*t=C*(C/(I*H))</t>
    </r>
    <r>
      <rPr>
        <sz val="11"/>
        <color theme="1"/>
        <rFont val="Calibri"/>
        <family val="2"/>
      </rPr>
      <t>ᵏ⁻¹</t>
    </r>
    <r>
      <rPr>
        <sz val="11"/>
        <color theme="1"/>
        <rFont val="Calibri"/>
        <family val="2"/>
        <scheme val="minor"/>
      </rPr>
      <t xml:space="preserve"> =</t>
    </r>
  </si>
  <si>
    <t>giver følgende data:</t>
  </si>
  <si>
    <t>Peukerts formel beregner kan benyttes til at forudsige en ny afladetid ved en anden afladestrøm for et batteri med kendt batterikapacitet</t>
  </si>
  <si>
    <t>C = Batterikapacitet [A*h = Coulomb]</t>
  </si>
  <si>
    <t xml:space="preserve">https://en.wikipedia.org/wiki/Coulomb </t>
  </si>
  <si>
    <t xml:space="preserve">https://en.wikipedia.org/wiki/Rechargeable_battery </t>
  </si>
  <si>
    <r>
      <t>Hvis et batteri er opgivet til 100 Ah</t>
    </r>
    <r>
      <rPr>
        <sz val="11"/>
        <color theme="1"/>
        <rFont val="Calibri"/>
        <family val="2"/>
      </rPr>
      <t>₅</t>
    </r>
    <r>
      <rPr>
        <sz val="11"/>
        <color theme="1"/>
        <rFont val="Calibri"/>
        <family val="2"/>
        <scheme val="minor"/>
      </rPr>
      <t xml:space="preserve">, betyder det, at batteriet i 20 timer kan afgive 5 A  (5A*20h = 100Ah). Afladetiden er fastsat til 20 timer (C20) og spændingen er faldet til 10,5 V ved 25 </t>
    </r>
    <r>
      <rPr>
        <sz val="11"/>
        <color theme="1"/>
        <rFont val="Calibri"/>
        <family val="2"/>
      </rPr>
      <t>°C for et 12 volts batteri.</t>
    </r>
  </si>
  <si>
    <t>C2 cellekapaciteten på det samme batteri med ændret aflæadestrøm</t>
  </si>
  <si>
    <t>Man kan enten bruge den modificerede udgave af ligningen [t = C* (C / H)ᵏ⁻¹ / Iᵏ]. Som i sagens natur korrigerer for det specifikke batteri</t>
  </si>
  <si>
    <r>
      <t>Anvendes den modificerede ligning [t = C* (C / H)</t>
    </r>
    <r>
      <rPr>
        <sz val="11"/>
        <rFont val="Calibri"/>
        <family val="2"/>
      </rPr>
      <t>ᵏ⁻¹</t>
    </r>
    <r>
      <rPr>
        <sz val="11"/>
        <rFont val="Calibri"/>
        <family val="2"/>
        <scheme val="minor"/>
      </rPr>
      <t xml:space="preserve"> / I</t>
    </r>
    <r>
      <rPr>
        <sz val="11"/>
        <rFont val="Calibri"/>
        <family val="2"/>
      </rPr>
      <t>ᵏ</t>
    </r>
    <r>
      <rPr>
        <sz val="11"/>
        <rFont val="Calibri"/>
        <family val="2"/>
        <scheme val="minor"/>
      </rPr>
      <t>] findes batteriets "omdrejnings" punktet til at være normværdien af afladestrømmen for det valgte batteri her:</t>
    </r>
  </si>
  <si>
    <r>
      <t>Disse tal svare til et batteri normeret til 100 Ah, 5 A afladestrøm ved 20 timer med en Peukerts konstant k på 1,3. Det er benævnt som batteriets "omdrejnings" punkt. Data på batteriet er listet således 100 Ah</t>
    </r>
    <r>
      <rPr>
        <sz val="11"/>
        <color theme="1"/>
        <rFont val="Calibri"/>
        <family val="2"/>
      </rPr>
      <t>₅.</t>
    </r>
  </si>
  <si>
    <r>
      <t xml:space="preserve">[ </t>
    </r>
    <r>
      <rPr>
        <sz val="11"/>
        <color theme="1"/>
        <rFont val="Calibri"/>
        <family val="2"/>
      </rPr>
      <t>₅ betyder 5 A og normtiden (20) er vedtaget til 20 timer, så 5*20=100. Peukerts konstant opgives sjældent]</t>
    </r>
  </si>
  <si>
    <t>Strøm højere end 5 A vil medføre kortere "batteritid" end en simpel ampere*tid beregning ville indikere. (Vi ser bort fra selvafladning i batteriet)</t>
  </si>
  <si>
    <t>Strøm lavere end 5 A vil medføre længere "batteritid" end en simpel ampere*tid beregning ville indikere. (Vi ser bort fra selvafladning i batteriet)</t>
  </si>
  <si>
    <r>
      <t>Forhåbentligt et det nu klart, hvorfor Peukerts ligning den normale [t=C/I</t>
    </r>
    <r>
      <rPr>
        <sz val="11"/>
        <rFont val="Calibri"/>
        <family val="2"/>
      </rPr>
      <t>ᵏ],</t>
    </r>
    <r>
      <rPr>
        <sz val="11"/>
        <rFont val="Calibri"/>
        <family val="2"/>
        <scheme val="minor"/>
      </rPr>
      <t xml:space="preserve"> ikke kan bruges med normale batteri data.</t>
    </r>
  </si>
  <si>
    <t>H1</t>
  </si>
  <si>
    <t>C1</t>
  </si>
  <si>
    <t>H2</t>
  </si>
  <si>
    <t>C2</t>
  </si>
  <si>
    <t>Indsæt dine værdier</t>
  </si>
  <si>
    <t>for dit batteri</t>
  </si>
  <si>
    <r>
      <t>Værdierne C, H og I er normalt oplyst på batteriet eller i databladet. Antag et batteri på 100 Ah</t>
    </r>
    <r>
      <rPr>
        <sz val="11"/>
        <color theme="1"/>
        <rFont val="Calibri"/>
        <family val="2"/>
      </rPr>
      <t>₅ - hvor(₅) betyder 5 A afladestrøm, (C20) normværdi 20 timer afladetid og k = 1,3 fås:</t>
    </r>
  </si>
  <si>
    <r>
      <t>med en afladningsstrøm som ikke er 1 A, hvor man ellers kunne bruge den normale version t = C / I</t>
    </r>
    <r>
      <rPr>
        <sz val="11"/>
        <rFont val="Calibri"/>
        <family val="2"/>
      </rPr>
      <t>ᵏ.</t>
    </r>
  </si>
</sst>
</file>

<file path=xl/styles.xml><?xml version="1.0" encoding="utf-8"?>
<styleSheet xmlns="http://schemas.openxmlformats.org/spreadsheetml/2006/main">
  <numFmts count="4">
    <numFmt numFmtId="164" formatCode="0.000"/>
    <numFmt numFmtId="165" formatCode="_ * #,##0.000_ ;_ * \-#,##0.000_ ;_ * &quot;-&quot;???_ ;_ @_ "/>
    <numFmt numFmtId="166" formatCode="0.0"/>
    <numFmt numFmtId="167" formatCode="0.00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color rgb="FFFF0000"/>
      <name val="Calibri"/>
      <family val="2"/>
      <scheme val="minor"/>
    </font>
    <font>
      <sz val="10"/>
      <color rgb="FF222222"/>
      <name val="Arial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sz val="12"/>
      <color indexed="17"/>
      <name val="Arial"/>
      <family val="2"/>
    </font>
    <font>
      <vertAlign val="subscript"/>
      <sz val="10"/>
      <name val="Arial"/>
      <family val="2"/>
    </font>
    <font>
      <vertAlign val="subscript"/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9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29"/>
      </patternFill>
    </fill>
    <fill>
      <patternFill patternType="solid">
        <fgColor theme="0" tint="-0.14999847407452621"/>
        <b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/>
  </cellStyleXfs>
  <cellXfs count="217">
    <xf numFmtId="0" fontId="0" fillId="0" borderId="0" xfId="0"/>
    <xf numFmtId="0" fontId="0" fillId="3" borderId="0" xfId="0" applyFill="1" applyProtection="1">
      <protection hidden="1"/>
    </xf>
    <xf numFmtId="0" fontId="0" fillId="0" borderId="0" xfId="0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4" fillId="3" borderId="0" xfId="0" applyFont="1" applyFill="1" applyProtection="1">
      <protection hidden="1"/>
    </xf>
    <xf numFmtId="2" fontId="0" fillId="3" borderId="0" xfId="0" applyNumberFormat="1" applyFill="1" applyProtection="1">
      <protection hidden="1"/>
    </xf>
    <xf numFmtId="0" fontId="3" fillId="2" borderId="0" xfId="0" applyFont="1" applyFill="1" applyAlignment="1" applyProtection="1">
      <alignment horizontal="center"/>
      <protection locked="0"/>
    </xf>
    <xf numFmtId="0" fontId="1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4" fillId="3" borderId="0" xfId="0" applyFont="1" applyFill="1" applyProtection="1"/>
    <xf numFmtId="0" fontId="0" fillId="3" borderId="0" xfId="0" applyFill="1"/>
    <xf numFmtId="164" fontId="0" fillId="3" borderId="0" xfId="0" applyNumberFormat="1" applyFill="1" applyProtection="1">
      <protection hidden="1"/>
    </xf>
    <xf numFmtId="164" fontId="1" fillId="3" borderId="0" xfId="0" applyNumberFormat="1" applyFont="1" applyFill="1" applyProtection="1">
      <protection hidden="1"/>
    </xf>
    <xf numFmtId="164" fontId="0" fillId="3" borderId="0" xfId="0" applyNumberFormat="1" applyFont="1" applyFill="1" applyProtection="1">
      <protection hidden="1"/>
    </xf>
    <xf numFmtId="0" fontId="3" fillId="3" borderId="0" xfId="0" applyFont="1" applyFill="1" applyAlignment="1" applyProtection="1">
      <alignment horizontal="center"/>
      <protection hidden="1"/>
    </xf>
    <xf numFmtId="164" fontId="3" fillId="2" borderId="0" xfId="0" applyNumberFormat="1" applyFont="1" applyFill="1" applyAlignment="1" applyProtection="1">
      <alignment horizontal="center"/>
      <protection locked="0"/>
    </xf>
    <xf numFmtId="0" fontId="0" fillId="3" borderId="0" xfId="0" applyFill="1" applyAlignment="1" applyProtection="1">
      <protection hidden="1"/>
    </xf>
    <xf numFmtId="0" fontId="7" fillId="3" borderId="0" xfId="0" applyFont="1" applyFill="1" applyAlignment="1" applyProtection="1"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left"/>
      <protection hidden="1"/>
    </xf>
    <xf numFmtId="2" fontId="0" fillId="3" borderId="1" xfId="0" applyNumberFormat="1" applyFill="1" applyBorder="1" applyProtection="1">
      <protection hidden="1"/>
    </xf>
    <xf numFmtId="2" fontId="5" fillId="3" borderId="1" xfId="0" applyNumberFormat="1" applyFont="1" applyFill="1" applyBorder="1" applyProtection="1"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3" borderId="1" xfId="0" applyFill="1" applyBorder="1" applyProtection="1">
      <protection hidden="1"/>
    </xf>
    <xf numFmtId="0" fontId="5" fillId="3" borderId="1" xfId="0" applyFont="1" applyFill="1" applyBorder="1" applyProtection="1"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11" fillId="3" borderId="0" xfId="0" applyFont="1" applyFill="1" applyBorder="1" applyProtection="1">
      <protection hidden="1"/>
    </xf>
    <xf numFmtId="0" fontId="11" fillId="3" borderId="0" xfId="0" applyFont="1" applyFill="1" applyBorder="1" applyAlignment="1" applyProtection="1">
      <alignment horizontal="left"/>
      <protection hidden="1"/>
    </xf>
    <xf numFmtId="164" fontId="0" fillId="3" borderId="1" xfId="0" applyNumberFormat="1" applyFill="1" applyBorder="1" applyProtection="1">
      <protection hidden="1"/>
    </xf>
    <xf numFmtId="164" fontId="5" fillId="3" borderId="1" xfId="0" applyNumberFormat="1" applyFont="1" applyFill="1" applyBorder="1" applyProtection="1">
      <protection hidden="1"/>
    </xf>
    <xf numFmtId="0" fontId="4" fillId="3" borderId="0" xfId="0" applyFont="1" applyFill="1" applyAlignment="1" applyProtection="1">
      <protection hidden="1"/>
    </xf>
    <xf numFmtId="0" fontId="1" fillId="3" borderId="2" xfId="0" applyFont="1" applyFill="1" applyBorder="1" applyAlignment="1" applyProtection="1">
      <alignment horizontal="center"/>
      <protection hidden="1"/>
    </xf>
    <xf numFmtId="0" fontId="7" fillId="3" borderId="0" xfId="0" applyFont="1" applyFill="1" applyAlignment="1" applyProtection="1">
      <alignment horizontal="left"/>
      <protection hidden="1"/>
    </xf>
    <xf numFmtId="0" fontId="5" fillId="3" borderId="0" xfId="0" applyFont="1" applyFill="1" applyAlignment="1" applyProtection="1">
      <protection hidden="1"/>
    </xf>
    <xf numFmtId="0" fontId="5" fillId="3" borderId="0" xfId="0" applyFont="1" applyFill="1" applyAlignment="1" applyProtection="1">
      <alignment horizontal="left"/>
      <protection hidden="1"/>
    </xf>
    <xf numFmtId="0" fontId="0" fillId="3" borderId="0" xfId="0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left"/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10" fillId="0" borderId="0" xfId="1" applyAlignment="1" applyProtection="1">
      <protection hidden="1"/>
    </xf>
    <xf numFmtId="9" fontId="0" fillId="3" borderId="1" xfId="2" applyFont="1" applyFill="1" applyBorder="1" applyProtection="1">
      <protection hidden="1"/>
    </xf>
    <xf numFmtId="9" fontId="5" fillId="3" borderId="1" xfId="2" applyFont="1" applyFill="1" applyBorder="1" applyProtection="1">
      <protection hidden="1"/>
    </xf>
    <xf numFmtId="0" fontId="1" fillId="3" borderId="0" xfId="0" applyFont="1" applyFill="1" applyBorder="1" applyAlignment="1" applyProtection="1">
      <alignment horizontal="center"/>
      <protection hidden="1"/>
    </xf>
    <xf numFmtId="164" fontId="3" fillId="3" borderId="0" xfId="0" applyNumberFormat="1" applyFont="1" applyFill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0" fillId="3" borderId="3" xfId="0" applyFill="1" applyBorder="1" applyAlignment="1" applyProtection="1">
      <protection hidden="1"/>
    </xf>
    <xf numFmtId="0" fontId="2" fillId="3" borderId="0" xfId="0" applyFont="1" applyFill="1" applyAlignment="1" applyProtection="1">
      <alignment horizontal="center"/>
      <protection hidden="1"/>
    </xf>
    <xf numFmtId="167" fontId="0" fillId="3" borderId="0" xfId="0" applyNumberFormat="1" applyFill="1" applyAlignment="1" applyProtection="1">
      <alignment horizontal="right"/>
      <protection hidden="1"/>
    </xf>
    <xf numFmtId="167" fontId="5" fillId="3" borderId="0" xfId="0" applyNumberFormat="1" applyFont="1" applyFill="1" applyAlignment="1" applyProtection="1">
      <alignment horizontal="right"/>
      <protection hidden="1"/>
    </xf>
    <xf numFmtId="0" fontId="5" fillId="0" borderId="0" xfId="0" applyFont="1" applyFill="1" applyProtection="1">
      <protection hidden="1"/>
    </xf>
    <xf numFmtId="0" fontId="19" fillId="4" borderId="0" xfId="0" applyFont="1" applyFill="1" applyBorder="1" applyAlignment="1" applyProtection="1">
      <protection hidden="1"/>
    </xf>
    <xf numFmtId="167" fontId="0" fillId="3" borderId="0" xfId="0" applyNumberFormat="1" applyFill="1" applyBorder="1" applyAlignment="1" applyProtection="1">
      <alignment horizontal="left"/>
      <protection hidden="1"/>
    </xf>
    <xf numFmtId="0" fontId="19" fillId="5" borderId="0" xfId="0" applyFont="1" applyFill="1" applyBorder="1" applyProtection="1">
      <protection hidden="1"/>
    </xf>
    <xf numFmtId="166" fontId="0" fillId="3" borderId="0" xfId="0" applyNumberFormat="1" applyFill="1" applyBorder="1" applyProtection="1">
      <protection hidden="1"/>
    </xf>
    <xf numFmtId="0" fontId="19" fillId="4" borderId="0" xfId="0" applyFont="1" applyFill="1" applyBorder="1" applyProtection="1">
      <protection hidden="1"/>
    </xf>
    <xf numFmtId="0" fontId="5" fillId="6" borderId="0" xfId="0" applyFont="1" applyFill="1" applyBorder="1" applyProtection="1">
      <protection hidden="1"/>
    </xf>
    <xf numFmtId="0" fontId="0" fillId="3" borderId="0" xfId="0" applyFill="1" applyBorder="1" applyProtection="1">
      <protection hidden="1"/>
    </xf>
    <xf numFmtId="2" fontId="3" fillId="3" borderId="0" xfId="0" quotePrefix="1" applyNumberFormat="1" applyFont="1" applyFill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3" borderId="0" xfId="0" applyFont="1" applyFill="1" applyProtection="1">
      <protection hidden="1"/>
    </xf>
    <xf numFmtId="0" fontId="2" fillId="3" borderId="0" xfId="0" applyFont="1" applyFill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0" xfId="0" applyFont="1" applyFill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5" fillId="3" borderId="1" xfId="0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166" fontId="15" fillId="0" borderId="0" xfId="0" applyNumberFormat="1" applyFont="1" applyFill="1" applyBorder="1" applyProtection="1">
      <protection hidden="1"/>
    </xf>
    <xf numFmtId="166" fontId="0" fillId="0" borderId="0" xfId="0" applyNumberFormat="1" applyFill="1" applyBorder="1" applyProtection="1">
      <protection hidden="1"/>
    </xf>
    <xf numFmtId="167" fontId="0" fillId="3" borderId="0" xfId="2" applyNumberFormat="1" applyFont="1" applyFill="1" applyBorder="1" applyAlignment="1" applyProtection="1">
      <alignment horizontal="right"/>
      <protection hidden="1"/>
    </xf>
    <xf numFmtId="9" fontId="0" fillId="3" borderId="0" xfId="2" applyFont="1" applyFill="1" applyBorder="1" applyProtection="1">
      <protection hidden="1"/>
    </xf>
    <xf numFmtId="9" fontId="0" fillId="0" borderId="0" xfId="2" applyFont="1" applyFill="1" applyBorder="1" applyProtection="1">
      <protection hidden="1"/>
    </xf>
    <xf numFmtId="167" fontId="0" fillId="3" borderId="0" xfId="0" applyNumberFormat="1" applyFill="1" applyBorder="1" applyAlignment="1" applyProtection="1">
      <alignment horizontal="right"/>
      <protection hidden="1"/>
    </xf>
    <xf numFmtId="167" fontId="0" fillId="0" borderId="0" xfId="0" applyNumberFormat="1" applyAlignment="1" applyProtection="1">
      <alignment horizontal="right"/>
      <protection hidden="1"/>
    </xf>
    <xf numFmtId="2" fontId="0" fillId="3" borderId="1" xfId="0" applyNumberFormat="1" applyFont="1" applyFill="1" applyBorder="1" applyAlignment="1" applyProtection="1">
      <alignment horizontal="right"/>
      <protection hidden="1"/>
    </xf>
    <xf numFmtId="2" fontId="5" fillId="3" borderId="1" xfId="2" applyNumberFormat="1" applyFont="1" applyFill="1" applyBorder="1" applyAlignment="1" applyProtection="1">
      <alignment horizontal="right"/>
      <protection hidden="1"/>
    </xf>
    <xf numFmtId="167" fontId="0" fillId="3" borderId="0" xfId="0" applyNumberFormat="1" applyFont="1" applyFill="1" applyAlignment="1" applyProtection="1">
      <alignment horizontal="right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left"/>
      <protection hidden="1"/>
    </xf>
    <xf numFmtId="0" fontId="10" fillId="3" borderId="0" xfId="1" applyFill="1" applyAlignment="1" applyProtection="1">
      <protection hidden="1"/>
    </xf>
    <xf numFmtId="0" fontId="16" fillId="3" borderId="0" xfId="0" applyFont="1" applyFill="1" applyProtection="1">
      <protection hidden="1"/>
    </xf>
    <xf numFmtId="0" fontId="20" fillId="3" borderId="0" xfId="0" applyFont="1" applyFill="1" applyAlignment="1" applyProtection="1">
      <alignment horizontal="left"/>
      <protection hidden="1"/>
    </xf>
    <xf numFmtId="0" fontId="17" fillId="3" borderId="0" xfId="0" applyFont="1" applyFill="1" applyProtection="1">
      <protection hidden="1"/>
    </xf>
    <xf numFmtId="2" fontId="0" fillId="7" borderId="1" xfId="0" applyNumberFormat="1" applyFill="1" applyBorder="1" applyProtection="1">
      <protection hidden="1"/>
    </xf>
    <xf numFmtId="2" fontId="0" fillId="7" borderId="0" xfId="0" quotePrefix="1" applyNumberFormat="1" applyFill="1" applyBorder="1" applyProtection="1">
      <protection hidden="1"/>
    </xf>
    <xf numFmtId="0" fontId="19" fillId="3" borderId="0" xfId="0" applyFont="1" applyFill="1" applyBorder="1" applyProtection="1">
      <protection hidden="1"/>
    </xf>
    <xf numFmtId="2" fontId="0" fillId="7" borderId="1" xfId="0" applyNumberFormat="1" applyFill="1" applyBorder="1" applyAlignment="1" applyProtection="1">
      <alignment horizontal="right"/>
      <protection hidden="1"/>
    </xf>
    <xf numFmtId="2" fontId="0" fillId="3" borderId="1" xfId="0" applyNumberFormat="1" applyFill="1" applyBorder="1" applyAlignment="1" applyProtection="1">
      <alignment horizontal="right"/>
      <protection hidden="1"/>
    </xf>
    <xf numFmtId="0" fontId="5" fillId="3" borderId="0" xfId="0" applyFont="1" applyFill="1" applyBorder="1" applyAlignment="1" applyProtection="1">
      <alignment horizontal="left"/>
      <protection hidden="1"/>
    </xf>
    <xf numFmtId="2" fontId="5" fillId="3" borderId="0" xfId="2" applyNumberFormat="1" applyFont="1" applyFill="1" applyBorder="1" applyAlignment="1" applyProtection="1">
      <alignment horizontal="right"/>
      <protection hidden="1"/>
    </xf>
    <xf numFmtId="0" fontId="0" fillId="3" borderId="0" xfId="0" applyFont="1" applyFill="1" applyAlignment="1" applyProtection="1">
      <protection hidden="1"/>
    </xf>
    <xf numFmtId="0" fontId="18" fillId="3" borderId="4" xfId="0" applyFont="1" applyFill="1" applyBorder="1" applyAlignment="1" applyProtection="1">
      <alignment vertical="center"/>
      <protection hidden="1"/>
    </xf>
    <xf numFmtId="0" fontId="0" fillId="0" borderId="0" xfId="0" applyFont="1" applyProtection="1">
      <protection hidden="1"/>
    </xf>
    <xf numFmtId="2" fontId="0" fillId="10" borderId="0" xfId="0" applyNumberFormat="1" applyFont="1" applyFill="1" applyBorder="1" applyProtection="1">
      <protection hidden="1"/>
    </xf>
    <xf numFmtId="2" fontId="0" fillId="3" borderId="0" xfId="0" applyNumberFormat="1" applyFont="1" applyFill="1" applyBorder="1" applyProtection="1">
      <protection hidden="1"/>
    </xf>
    <xf numFmtId="0" fontId="0" fillId="3" borderId="0" xfId="0" applyFont="1" applyFill="1" applyBorder="1" applyAlignment="1" applyProtection="1">
      <alignment horizontal="center"/>
      <protection hidden="1"/>
    </xf>
    <xf numFmtId="0" fontId="0" fillId="3" borderId="0" xfId="0" applyFont="1" applyFill="1" applyBorder="1" applyProtection="1">
      <protection hidden="1"/>
    </xf>
    <xf numFmtId="2" fontId="0" fillId="3" borderId="0" xfId="0" applyNumberFormat="1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Protection="1">
      <protection hidden="1"/>
    </xf>
    <xf numFmtId="2" fontId="0" fillId="3" borderId="0" xfId="0" applyNumberFormat="1" applyFont="1" applyFill="1" applyProtection="1">
      <protection hidden="1"/>
    </xf>
    <xf numFmtId="2" fontId="0" fillId="3" borderId="0" xfId="0" applyNumberFormat="1" applyFont="1" applyFill="1" applyAlignment="1" applyProtection="1">
      <alignment horizontal="center"/>
      <protection hidden="1"/>
    </xf>
    <xf numFmtId="0" fontId="0" fillId="3" borderId="0" xfId="0" applyFont="1" applyFill="1" applyAlignment="1" applyProtection="1">
      <alignment horizontal="center"/>
      <protection hidden="1"/>
    </xf>
    <xf numFmtId="0" fontId="0" fillId="3" borderId="0" xfId="0" quotePrefix="1" applyFill="1" applyProtection="1">
      <protection hidden="1"/>
    </xf>
    <xf numFmtId="0" fontId="0" fillId="3" borderId="0" xfId="0" applyFont="1" applyFill="1" applyBorder="1" applyAlignment="1" applyProtection="1">
      <protection hidden="1"/>
    </xf>
    <xf numFmtId="0" fontId="17" fillId="3" borderId="1" xfId="0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17" fillId="3" borderId="0" xfId="0" applyFont="1" applyFill="1" applyBorder="1" applyAlignment="1" applyProtection="1">
      <alignment horizontal="center"/>
      <protection hidden="1"/>
    </xf>
    <xf numFmtId="0" fontId="0" fillId="3" borderId="0" xfId="0" applyFont="1" applyFill="1" applyAlignment="1" applyProtection="1">
      <alignment horizontal="left"/>
      <protection hidden="1"/>
    </xf>
    <xf numFmtId="0" fontId="12" fillId="3" borderId="0" xfId="0" applyFont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10" borderId="0" xfId="0" applyFont="1" applyFill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2" fontId="21" fillId="3" borderId="4" xfId="0" applyNumberFormat="1" applyFont="1" applyFill="1" applyBorder="1" applyAlignment="1" applyProtection="1">
      <alignment horizontal="center" vertical="center"/>
      <protection hidden="1"/>
    </xf>
    <xf numFmtId="0" fontId="21" fillId="3" borderId="4" xfId="0" applyFont="1" applyFill="1" applyBorder="1" applyAlignment="1" applyProtection="1">
      <alignment horizontal="center" vertical="center"/>
      <protection hidden="1"/>
    </xf>
    <xf numFmtId="0" fontId="21" fillId="3" borderId="4" xfId="0" applyFont="1" applyFill="1" applyBorder="1" applyAlignment="1" applyProtection="1">
      <alignment vertical="center"/>
      <protection hidden="1"/>
    </xf>
    <xf numFmtId="2" fontId="21" fillId="3" borderId="0" xfId="0" applyNumberFormat="1" applyFont="1" applyFill="1" applyAlignment="1" applyProtection="1">
      <alignment horizontal="center" vertical="center"/>
      <protection hidden="1"/>
    </xf>
    <xf numFmtId="2" fontId="21" fillId="3" borderId="0" xfId="0" applyNumberFormat="1" applyFont="1" applyFill="1" applyBorder="1" applyAlignment="1" applyProtection="1">
      <alignment horizontal="center" vertical="center"/>
      <protection hidden="1"/>
    </xf>
    <xf numFmtId="0" fontId="21" fillId="3" borderId="0" xfId="0" applyFont="1" applyFill="1" applyBorder="1" applyAlignment="1" applyProtection="1">
      <alignment horizontal="center" vertical="center"/>
      <protection hidden="1"/>
    </xf>
    <xf numFmtId="0" fontId="21" fillId="3" borderId="0" xfId="0" applyFont="1" applyFill="1" applyBorder="1" applyAlignment="1" applyProtection="1">
      <alignment vertical="center"/>
      <protection hidden="1"/>
    </xf>
    <xf numFmtId="2" fontId="15" fillId="2" borderId="1" xfId="0" applyNumberFormat="1" applyFont="1" applyFill="1" applyBorder="1" applyAlignment="1" applyProtection="1">
      <alignment horizontal="center"/>
      <protection locked="0"/>
    </xf>
    <xf numFmtId="0" fontId="16" fillId="3" borderId="1" xfId="0" applyFont="1" applyFill="1" applyBorder="1" applyAlignment="1" applyProtection="1">
      <alignment horizontal="center"/>
      <protection hidden="1"/>
    </xf>
    <xf numFmtId="2" fontId="29" fillId="2" borderId="1" xfId="0" applyNumberFormat="1" applyFont="1" applyFill="1" applyBorder="1" applyAlignment="1" applyProtection="1">
      <alignment horizontal="center"/>
      <protection locked="0"/>
    </xf>
    <xf numFmtId="0" fontId="20" fillId="3" borderId="1" xfId="0" applyFont="1" applyFill="1" applyBorder="1" applyAlignment="1" applyProtection="1">
      <alignment horizontal="center"/>
      <protection hidden="1"/>
    </xf>
    <xf numFmtId="2" fontId="28" fillId="2" borderId="1" xfId="0" applyNumberFormat="1" applyFont="1" applyFill="1" applyBorder="1" applyAlignment="1" applyProtection="1">
      <alignment horizontal="center"/>
      <protection locked="0"/>
    </xf>
    <xf numFmtId="2" fontId="21" fillId="3" borderId="1" xfId="0" applyNumberFormat="1" applyFont="1" applyFill="1" applyBorder="1" applyAlignment="1" applyProtection="1">
      <alignment horizontal="center"/>
      <protection hidden="1"/>
    </xf>
    <xf numFmtId="0" fontId="16" fillId="3" borderId="0" xfId="0" applyFont="1" applyFill="1" applyBorder="1" applyAlignment="1" applyProtection="1">
      <alignment horizontal="center"/>
      <protection hidden="1"/>
    </xf>
    <xf numFmtId="2" fontId="15" fillId="3" borderId="0" xfId="0" applyNumberFormat="1" applyFont="1" applyFill="1" applyBorder="1" applyAlignment="1" applyProtection="1">
      <alignment horizontal="center"/>
      <protection locked="0"/>
    </xf>
    <xf numFmtId="0" fontId="20" fillId="3" borderId="0" xfId="0" applyFont="1" applyFill="1" applyBorder="1" applyAlignment="1" applyProtection="1">
      <alignment horizontal="center"/>
      <protection hidden="1"/>
    </xf>
    <xf numFmtId="2" fontId="29" fillId="3" borderId="0" xfId="0" applyNumberFormat="1" applyFont="1" applyFill="1" applyBorder="1" applyAlignment="1" applyProtection="1">
      <alignment horizontal="center"/>
      <protection locked="0"/>
    </xf>
    <xf numFmtId="2" fontId="28" fillId="3" borderId="0" xfId="0" applyNumberFormat="1" applyFont="1" applyFill="1" applyBorder="1" applyAlignment="1" applyProtection="1">
      <alignment horizontal="center"/>
      <protection locked="0"/>
    </xf>
    <xf numFmtId="2" fontId="21" fillId="3" borderId="0" xfId="0" applyNumberFormat="1" applyFont="1" applyFill="1" applyBorder="1" applyAlignment="1" applyProtection="1">
      <alignment horizontal="center"/>
      <protection hidden="1"/>
    </xf>
    <xf numFmtId="2" fontId="15" fillId="3" borderId="1" xfId="0" applyNumberFormat="1" applyFont="1" applyFill="1" applyBorder="1" applyAlignment="1" applyProtection="1">
      <alignment horizontal="center"/>
    </xf>
    <xf numFmtId="2" fontId="29" fillId="3" borderId="1" xfId="0" applyNumberFormat="1" applyFont="1" applyFill="1" applyBorder="1" applyAlignment="1" applyProtection="1">
      <alignment horizontal="center"/>
    </xf>
    <xf numFmtId="2" fontId="28" fillId="3" borderId="1" xfId="0" applyNumberFormat="1" applyFont="1" applyFill="1" applyBorder="1" applyAlignment="1" applyProtection="1">
      <alignment horizontal="center"/>
    </xf>
    <xf numFmtId="2" fontId="21" fillId="2" borderId="1" xfId="0" applyNumberFormat="1" applyFont="1" applyFill="1" applyBorder="1" applyAlignment="1" applyProtection="1">
      <alignment horizontal="center"/>
      <protection locked="0"/>
    </xf>
    <xf numFmtId="2" fontId="0" fillId="3" borderId="0" xfId="0" applyNumberFormat="1" applyFont="1" applyFill="1" applyAlignment="1" applyProtection="1">
      <protection hidden="1"/>
    </xf>
    <xf numFmtId="0" fontId="12" fillId="3" borderId="0" xfId="0" applyFont="1" applyFill="1" applyAlignment="1" applyProtection="1">
      <protection hidden="1"/>
    </xf>
    <xf numFmtId="2" fontId="0" fillId="11" borderId="1" xfId="0" applyNumberFormat="1" applyFont="1" applyFill="1" applyBorder="1" applyAlignment="1" applyProtection="1">
      <alignment horizontal="center"/>
      <protection locked="0"/>
    </xf>
    <xf numFmtId="165" fontId="3" fillId="3" borderId="0" xfId="0" applyNumberFormat="1" applyFont="1" applyFill="1" applyBorder="1" applyAlignment="1" applyProtection="1">
      <alignment horizontal="center" vertical="center"/>
      <protection hidden="1"/>
    </xf>
    <xf numFmtId="0" fontId="10" fillId="3" borderId="0" xfId="1" applyFont="1" applyFill="1" applyBorder="1" applyAlignment="1" applyProtection="1">
      <alignment horizontal="center" vertical="center"/>
      <protection hidden="1"/>
    </xf>
    <xf numFmtId="0" fontId="10" fillId="3" borderId="0" xfId="1" applyFill="1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</xf>
    <xf numFmtId="0" fontId="8" fillId="3" borderId="0" xfId="0" applyFont="1" applyFill="1" applyAlignment="1">
      <alignment horizontal="center"/>
    </xf>
    <xf numFmtId="0" fontId="0" fillId="3" borderId="0" xfId="0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left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21" fillId="3" borderId="0" xfId="0" applyFont="1" applyFill="1" applyBorder="1" applyAlignment="1" applyProtection="1">
      <alignment horizontal="center" vertical="center"/>
      <protection hidden="1"/>
    </xf>
    <xf numFmtId="0" fontId="0" fillId="3" borderId="1" xfId="0" applyFont="1" applyFill="1" applyBorder="1" applyAlignment="1" applyProtection="1">
      <alignment horizontal="center"/>
      <protection hidden="1"/>
    </xf>
    <xf numFmtId="0" fontId="0" fillId="3" borderId="11" xfId="0" applyFont="1" applyFill="1" applyBorder="1" applyAlignment="1" applyProtection="1">
      <alignment horizontal="center"/>
      <protection hidden="1"/>
    </xf>
    <xf numFmtId="0" fontId="0" fillId="3" borderId="12" xfId="0" applyFont="1" applyFill="1" applyBorder="1" applyAlignment="1" applyProtection="1">
      <alignment horizontal="center"/>
      <protection hidden="1"/>
    </xf>
    <xf numFmtId="0" fontId="16" fillId="3" borderId="1" xfId="0" applyFont="1" applyFill="1" applyBorder="1" applyAlignment="1" applyProtection="1">
      <alignment horizontal="center"/>
      <protection hidden="1"/>
    </xf>
    <xf numFmtId="0" fontId="20" fillId="3" borderId="1" xfId="0" applyFont="1" applyFill="1" applyBorder="1" applyAlignment="1" applyProtection="1">
      <alignment horizontal="center"/>
      <protection hidden="1"/>
    </xf>
    <xf numFmtId="0" fontId="17" fillId="3" borderId="1" xfId="0" applyFont="1" applyFill="1" applyBorder="1" applyAlignment="1" applyProtection="1">
      <alignment horizontal="center"/>
      <protection hidden="1"/>
    </xf>
    <xf numFmtId="0" fontId="0" fillId="3" borderId="0" xfId="0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center"/>
    </xf>
    <xf numFmtId="0" fontId="16" fillId="3" borderId="1" xfId="0" applyFont="1" applyFill="1" applyBorder="1" applyAlignment="1" applyProtection="1">
      <alignment horizontal="left"/>
      <protection hidden="1"/>
    </xf>
    <xf numFmtId="0" fontId="20" fillId="3" borderId="1" xfId="0" applyFont="1" applyFill="1" applyBorder="1" applyAlignment="1" applyProtection="1">
      <alignment horizontal="left"/>
      <protection hidden="1"/>
    </xf>
    <xf numFmtId="0" fontId="22" fillId="3" borderId="1" xfId="0" applyFont="1" applyFill="1" applyBorder="1" applyAlignment="1" applyProtection="1">
      <alignment horizontal="left"/>
      <protection hidden="1"/>
    </xf>
    <xf numFmtId="0" fontId="5" fillId="3" borderId="1" xfId="0" applyFont="1" applyFill="1" applyBorder="1" applyAlignment="1" applyProtection="1">
      <alignment horizontal="center"/>
      <protection hidden="1"/>
    </xf>
    <xf numFmtId="0" fontId="21" fillId="3" borderId="4" xfId="0" applyFont="1" applyFill="1" applyBorder="1" applyAlignment="1" applyProtection="1">
      <alignment horizontal="center" vertical="center"/>
      <protection hidden="1"/>
    </xf>
    <xf numFmtId="2" fontId="28" fillId="9" borderId="6" xfId="0" applyNumberFormat="1" applyFont="1" applyFill="1" applyBorder="1" applyAlignment="1" applyProtection="1">
      <alignment horizontal="center" vertical="center"/>
      <protection hidden="1"/>
    </xf>
    <xf numFmtId="2" fontId="28" fillId="9" borderId="7" xfId="0" applyNumberFormat="1" applyFont="1" applyFill="1" applyBorder="1" applyAlignment="1" applyProtection="1">
      <alignment horizontal="center" vertical="center"/>
      <protection hidden="1"/>
    </xf>
    <xf numFmtId="2" fontId="28" fillId="9" borderId="9" xfId="0" applyNumberFormat="1" applyFont="1" applyFill="1" applyBorder="1" applyAlignment="1" applyProtection="1">
      <alignment horizontal="center" vertical="center"/>
      <protection hidden="1"/>
    </xf>
    <xf numFmtId="2" fontId="28" fillId="9" borderId="10" xfId="0" applyNumberFormat="1" applyFont="1" applyFill="1" applyBorder="1" applyAlignment="1" applyProtection="1">
      <alignment horizontal="center" vertical="center"/>
      <protection hidden="1"/>
    </xf>
    <xf numFmtId="2" fontId="30" fillId="3" borderId="5" xfId="2" applyNumberFormat="1" applyFont="1" applyFill="1" applyBorder="1" applyAlignment="1" applyProtection="1">
      <alignment horizontal="center" vertical="center" wrapText="1"/>
      <protection hidden="1"/>
    </xf>
    <xf numFmtId="2" fontId="30" fillId="3" borderId="6" xfId="2" applyNumberFormat="1" applyFont="1" applyFill="1" applyBorder="1" applyAlignment="1" applyProtection="1">
      <alignment horizontal="center" vertical="center" wrapText="1"/>
      <protection hidden="1"/>
    </xf>
    <xf numFmtId="2" fontId="30" fillId="3" borderId="8" xfId="2" applyNumberFormat="1" applyFont="1" applyFill="1" applyBorder="1" applyAlignment="1" applyProtection="1">
      <alignment horizontal="center" vertical="center" wrapText="1"/>
      <protection hidden="1"/>
    </xf>
    <xf numFmtId="2" fontId="30" fillId="3" borderId="9" xfId="2" applyNumberFormat="1" applyFont="1" applyFill="1" applyBorder="1" applyAlignment="1" applyProtection="1">
      <alignment horizontal="center" vertical="center" wrapText="1"/>
      <protection hidden="1"/>
    </xf>
    <xf numFmtId="2" fontId="30" fillId="8" borderId="6" xfId="2" applyNumberFormat="1" applyFont="1" applyFill="1" applyBorder="1" applyAlignment="1" applyProtection="1">
      <alignment horizontal="center" vertical="center"/>
      <protection hidden="1"/>
    </xf>
    <xf numFmtId="2" fontId="30" fillId="8" borderId="7" xfId="2" applyNumberFormat="1" applyFont="1" applyFill="1" applyBorder="1" applyAlignment="1" applyProtection="1">
      <alignment horizontal="center" vertical="center"/>
      <protection hidden="1"/>
    </xf>
    <xf numFmtId="2" fontId="30" fillId="8" borderId="9" xfId="2" applyNumberFormat="1" applyFont="1" applyFill="1" applyBorder="1" applyAlignment="1" applyProtection="1">
      <alignment horizontal="center" vertical="center"/>
      <protection hidden="1"/>
    </xf>
    <xf numFmtId="2" fontId="30" fillId="8" borderId="10" xfId="2" applyNumberFormat="1" applyFont="1" applyFill="1" applyBorder="1" applyAlignment="1" applyProtection="1">
      <alignment horizontal="center" vertical="center"/>
      <protection hidden="1"/>
    </xf>
    <xf numFmtId="0" fontId="21" fillId="2" borderId="0" xfId="0" applyFont="1" applyFill="1" applyAlignment="1" applyProtection="1">
      <alignment horizontal="center"/>
      <protection hidden="1"/>
    </xf>
    <xf numFmtId="0" fontId="15" fillId="3" borderId="5" xfId="0" applyFont="1" applyFill="1" applyBorder="1" applyAlignment="1" applyProtection="1">
      <alignment horizontal="center" vertical="center"/>
      <protection hidden="1"/>
    </xf>
    <xf numFmtId="0" fontId="15" fillId="3" borderId="6" xfId="0" applyFont="1" applyFill="1" applyBorder="1" applyAlignment="1" applyProtection="1">
      <alignment horizontal="center" vertical="center"/>
      <protection hidden="1"/>
    </xf>
    <xf numFmtId="0" fontId="15" fillId="3" borderId="8" xfId="0" applyFont="1" applyFill="1" applyBorder="1" applyAlignment="1" applyProtection="1">
      <alignment horizontal="center" vertical="center"/>
      <protection hidden="1"/>
    </xf>
    <xf numFmtId="0" fontId="15" fillId="3" borderId="9" xfId="0" applyFont="1" applyFill="1" applyBorder="1" applyAlignment="1" applyProtection="1">
      <alignment horizontal="center" vertical="center"/>
      <protection hidden="1"/>
    </xf>
    <xf numFmtId="2" fontId="29" fillId="3" borderId="5" xfId="2" applyNumberFormat="1" applyFont="1" applyFill="1" applyBorder="1" applyAlignment="1" applyProtection="1">
      <alignment horizontal="center" vertical="center"/>
      <protection hidden="1"/>
    </xf>
    <xf numFmtId="2" fontId="29" fillId="3" borderId="6" xfId="2" applyNumberFormat="1" applyFont="1" applyFill="1" applyBorder="1" applyAlignment="1" applyProtection="1">
      <alignment horizontal="center" vertical="center"/>
      <protection hidden="1"/>
    </xf>
    <xf numFmtId="2" fontId="29" fillId="3" borderId="8" xfId="2" applyNumberFormat="1" applyFont="1" applyFill="1" applyBorder="1" applyAlignment="1" applyProtection="1">
      <alignment horizontal="center" vertical="center"/>
      <protection hidden="1"/>
    </xf>
    <xf numFmtId="2" fontId="29" fillId="3" borderId="9" xfId="2" applyNumberFormat="1" applyFont="1" applyFill="1" applyBorder="1" applyAlignment="1" applyProtection="1">
      <alignment horizontal="center" vertical="center"/>
      <protection hidden="1"/>
    </xf>
    <xf numFmtId="2" fontId="29" fillId="8" borderId="6" xfId="0" applyNumberFormat="1" applyFont="1" applyFill="1" applyBorder="1" applyAlignment="1" applyProtection="1">
      <alignment horizontal="center" vertical="center"/>
      <protection hidden="1"/>
    </xf>
    <xf numFmtId="2" fontId="29" fillId="8" borderId="7" xfId="0" applyNumberFormat="1" applyFont="1" applyFill="1" applyBorder="1" applyAlignment="1" applyProtection="1">
      <alignment horizontal="center" vertical="center"/>
      <protection hidden="1"/>
    </xf>
    <xf numFmtId="2" fontId="29" fillId="8" borderId="9" xfId="0" applyNumberFormat="1" applyFont="1" applyFill="1" applyBorder="1" applyAlignment="1" applyProtection="1">
      <alignment horizontal="center" vertical="center"/>
      <protection hidden="1"/>
    </xf>
    <xf numFmtId="2" fontId="29" fillId="8" borderId="10" xfId="0" applyNumberFormat="1" applyFont="1" applyFill="1" applyBorder="1" applyAlignment="1" applyProtection="1">
      <alignment horizontal="center" vertical="center"/>
      <protection hidden="1"/>
    </xf>
    <xf numFmtId="2" fontId="15" fillId="8" borderId="6" xfId="2" applyNumberFormat="1" applyFont="1" applyFill="1" applyBorder="1" applyAlignment="1" applyProtection="1">
      <alignment horizontal="center" vertical="center"/>
    </xf>
    <xf numFmtId="2" fontId="15" fillId="8" borderId="7" xfId="2" applyNumberFormat="1" applyFont="1" applyFill="1" applyBorder="1" applyAlignment="1" applyProtection="1">
      <alignment horizontal="center" vertical="center"/>
    </xf>
    <xf numFmtId="2" fontId="15" fillId="8" borderId="9" xfId="2" applyNumberFormat="1" applyFont="1" applyFill="1" applyBorder="1" applyAlignment="1" applyProtection="1">
      <alignment horizontal="center" vertical="center"/>
    </xf>
    <xf numFmtId="2" fontId="15" fillId="8" borderId="10" xfId="2" applyNumberFormat="1" applyFont="1" applyFill="1" applyBorder="1" applyAlignment="1" applyProtection="1">
      <alignment horizontal="center" vertical="center"/>
    </xf>
    <xf numFmtId="2" fontId="28" fillId="3" borderId="5" xfId="2" applyNumberFormat="1" applyFont="1" applyFill="1" applyBorder="1" applyAlignment="1" applyProtection="1">
      <alignment horizontal="center" vertical="center" wrapText="1"/>
      <protection hidden="1"/>
    </xf>
    <xf numFmtId="2" fontId="28" fillId="3" borderId="6" xfId="2" applyNumberFormat="1" applyFont="1" applyFill="1" applyBorder="1" applyAlignment="1" applyProtection="1">
      <alignment horizontal="center" vertical="center" wrapText="1"/>
      <protection hidden="1"/>
    </xf>
    <xf numFmtId="2" fontId="28" fillId="3" borderId="8" xfId="2" applyNumberFormat="1" applyFont="1" applyFill="1" applyBorder="1" applyAlignment="1" applyProtection="1">
      <alignment horizontal="center" vertical="center" wrapText="1"/>
      <protection hidden="1"/>
    </xf>
    <xf numFmtId="2" fontId="28" fillId="3" borderId="9" xfId="2" applyNumberFormat="1" applyFont="1" applyFill="1" applyBorder="1" applyAlignment="1" applyProtection="1">
      <alignment horizontal="center" vertical="center" wrapText="1"/>
      <protection hidden="1"/>
    </xf>
    <xf numFmtId="0" fontId="17" fillId="3" borderId="1" xfId="0" applyFont="1" applyFill="1" applyBorder="1" applyAlignment="1" applyProtection="1">
      <alignment horizontal="left"/>
      <protection hidden="1"/>
    </xf>
    <xf numFmtId="0" fontId="21" fillId="3" borderId="12" xfId="0" applyFont="1" applyFill="1" applyBorder="1" applyAlignment="1" applyProtection="1">
      <alignment horizontal="center" vertical="center"/>
      <protection hidden="1"/>
    </xf>
    <xf numFmtId="2" fontId="15" fillId="8" borderId="6" xfId="2" applyNumberFormat="1" applyFont="1" applyFill="1" applyBorder="1" applyAlignment="1" applyProtection="1">
      <alignment horizontal="center" vertical="center"/>
      <protection hidden="1"/>
    </xf>
    <xf numFmtId="2" fontId="15" fillId="8" borderId="7" xfId="2" applyNumberFormat="1" applyFont="1" applyFill="1" applyBorder="1" applyAlignment="1" applyProtection="1">
      <alignment horizontal="center" vertical="center"/>
      <protection hidden="1"/>
    </xf>
    <xf numFmtId="2" fontId="15" fillId="8" borderId="9" xfId="2" applyNumberFormat="1" applyFont="1" applyFill="1" applyBorder="1" applyAlignment="1" applyProtection="1">
      <alignment horizontal="center" vertical="center"/>
      <protection hidden="1"/>
    </xf>
    <xf numFmtId="2" fontId="15" fillId="8" borderId="10" xfId="2" applyNumberFormat="1" applyFont="1" applyFill="1" applyBorder="1" applyAlignment="1" applyProtection="1">
      <alignment horizontal="center" vertical="center"/>
      <protection hidden="1"/>
    </xf>
    <xf numFmtId="0" fontId="27" fillId="3" borderId="0" xfId="0" applyFont="1" applyFill="1" applyAlignment="1" applyProtection="1">
      <alignment horizontal="center"/>
      <protection hidden="1"/>
    </xf>
    <xf numFmtId="0" fontId="0" fillId="10" borderId="0" xfId="0" applyFont="1" applyFill="1" applyAlignment="1" applyProtection="1">
      <alignment horizontal="center"/>
      <protection hidden="1"/>
    </xf>
    <xf numFmtId="0" fontId="5" fillId="3" borderId="9" xfId="0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0" fillId="3" borderId="0" xfId="0" applyFont="1" applyFill="1" applyBorder="1" applyAlignment="1" applyProtection="1">
      <alignment horizontal="center" vertical="center"/>
      <protection hidden="1"/>
    </xf>
    <xf numFmtId="2" fontId="0" fillId="10" borderId="0" xfId="0" applyNumberFormat="1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2" fontId="0" fillId="11" borderId="0" xfId="0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3" borderId="0" xfId="0" applyFont="1" applyFill="1" applyAlignment="1" applyProtection="1">
      <alignment horizontal="center" vertical="center"/>
      <protection hidden="1"/>
    </xf>
  </cellXfs>
  <cellStyles count="3">
    <cellStyle name="Hyperlink" xfId="1" builtinId="8"/>
    <cellStyle name="Normal" xfId="0" builtinId="0"/>
    <cellStyle name="Pro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Vægtfylde!$B$1</c:f>
          <c:strCache>
            <c:ptCount val="1"/>
            <c:pt idx="0">
              <c:v>Temperaturens indflydelse på syrens vægtfylden (fuldt opladt). Når temperaturen falder stiger vægtfylden</c:v>
            </c:pt>
          </c:strCache>
        </c:strRef>
      </c:tx>
      <c:layout>
        <c:manualLayout>
          <c:xMode val="edge"/>
          <c:yMode val="edge"/>
          <c:x val="8.1604771418498062E-2"/>
          <c:y val="3.959938475432506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8.2770270270270271E-2"/>
          <c:y val="0.15183498160343994"/>
          <c:w val="0.67095801407474398"/>
          <c:h val="0.69675386002465511"/>
        </c:manualLayout>
      </c:layout>
      <c:lineChart>
        <c:grouping val="standard"/>
        <c:ser>
          <c:idx val="0"/>
          <c:order val="0"/>
          <c:tx>
            <c:strRef>
              <c:f>Vægtfylde!$B$3</c:f>
              <c:strCache>
                <c:ptCount val="1"/>
                <c:pt idx="0">
                  <c:v>Vægtfylde 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dLblPos val="t"/>
            <c:showVal val="1"/>
          </c:dLbls>
          <c:cat>
            <c:numRef>
              <c:f>Vægtfylde!$E$4:$L$4</c:f>
              <c:numCache>
                <c:formatCode>General</c:formatCode>
                <c:ptCount val="8"/>
                <c:pt idx="0">
                  <c:v>-30</c:v>
                </c:pt>
                <c:pt idx="1">
                  <c:v>-20</c:v>
                </c:pt>
                <c:pt idx="2">
                  <c:v>-10</c:v>
                </c:pt>
                <c:pt idx="3">
                  <c:v>0</c:v>
                </c:pt>
                <c:pt idx="4">
                  <c:v>10</c:v>
                </c:pt>
                <c:pt idx="5">
                  <c:v>20</c:v>
                </c:pt>
                <c:pt idx="6">
                  <c:v>30</c:v>
                </c:pt>
                <c:pt idx="7">
                  <c:v>40</c:v>
                </c:pt>
              </c:numCache>
            </c:numRef>
          </c:cat>
          <c:val>
            <c:numRef>
              <c:f>Vægtfylde!$E$3:$L$3</c:f>
              <c:numCache>
                <c:formatCode>0.000</c:formatCode>
                <c:ptCount val="8"/>
                <c:pt idx="0">
                  <c:v>1.3320000000000001</c:v>
                </c:pt>
                <c:pt idx="1">
                  <c:v>1.325</c:v>
                </c:pt>
                <c:pt idx="2">
                  <c:v>1.3180000000000001</c:v>
                </c:pt>
                <c:pt idx="3">
                  <c:v>1.3109999999999999</c:v>
                </c:pt>
                <c:pt idx="4">
                  <c:v>1.304</c:v>
                </c:pt>
                <c:pt idx="5">
                  <c:v>1.2969999999999999</c:v>
                </c:pt>
                <c:pt idx="6">
                  <c:v>1.29</c:v>
                </c:pt>
                <c:pt idx="7">
                  <c:v>1.2829999999999999</c:v>
                </c:pt>
              </c:numCache>
            </c:numRef>
          </c:val>
        </c:ser>
        <c:dLbls>
          <c:showVal val="1"/>
        </c:dLbls>
        <c:marker val="1"/>
        <c:axId val="152737664"/>
        <c:axId val="152748032"/>
      </c:lineChart>
      <c:catAx>
        <c:axId val="152737664"/>
        <c:scaling>
          <c:orientation val="minMax"/>
        </c:scaling>
        <c:axPos val="b"/>
        <c:majorGridlines/>
        <c:minorGridlines/>
        <c:title>
          <c:tx>
            <c:strRef>
              <c:f>Vægtfylde!$W$12</c:f>
              <c:strCache>
                <c:ptCount val="1"/>
                <c:pt idx="0">
                  <c:v>Syre temperatur °C</c:v>
                </c:pt>
              </c:strCache>
            </c:strRef>
          </c:tx>
          <c:layout>
            <c:manualLayout>
              <c:xMode val="edge"/>
              <c:yMode val="edge"/>
              <c:x val="0.38250171653896331"/>
              <c:y val="0.93146330193573601"/>
            </c:manualLayout>
          </c:layout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175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a-DK"/>
            </a:p>
          </c:tx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52748032"/>
        <c:crosses val="autoZero"/>
        <c:auto val="1"/>
        <c:lblAlgn val="ctr"/>
        <c:lblOffset val="100"/>
        <c:tickLblSkip val="1"/>
        <c:tickMarkSkip val="1"/>
      </c:catAx>
      <c:valAx>
        <c:axId val="1527480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strRef>
              <c:f>Vægtfylde!$W$13</c:f>
              <c:strCache>
                <c:ptCount val="1"/>
                <c:pt idx="0">
                  <c:v>Vægtfylde Kg/L</c:v>
                </c:pt>
              </c:strCache>
            </c:strRef>
          </c:tx>
          <c:layout>
            <c:manualLayout>
              <c:xMode val="edge"/>
              <c:yMode val="edge"/>
              <c:x val="1.3805738616912215E-2"/>
              <c:y val="0.37219776291404744"/>
            </c:manualLayout>
          </c:layout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175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a-DK"/>
            </a:p>
          </c:txPr>
        </c:title>
        <c:numFmt formatCode="0.000" sourceLinked="0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527376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792871553463362"/>
          <c:y val="0.38332443293073554"/>
          <c:w val="0.18696480609728933"/>
          <c:h val="0.22656983218007842"/>
        </c:manualLayout>
      </c:layout>
      <c:spPr>
        <a:solidFill>
          <a:schemeClr val="accent6">
            <a:lumMod val="20000"/>
            <a:lumOff val="80000"/>
          </a:schemeClr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span"/>
  </c:chart>
  <c:spPr>
    <a:solidFill>
      <a:schemeClr val="accent1">
        <a:lumMod val="20000"/>
        <a:lumOff val="80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0.75000000000001465" l="0.70000000000000062" r="0.70000000000000062" t="0.75000000000001465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Kapacitet!$B$1</c:f>
          <c:strCache>
            <c:ptCount val="1"/>
            <c:pt idx="0">
              <c:v>Temperaturens indflydelse på batteriets kapacitet. Når temperaturen falder, bliver batteriets kapacitet mindre</c:v>
            </c:pt>
          </c:strCache>
        </c:strRef>
      </c:tx>
      <c:layout>
        <c:manualLayout>
          <c:xMode val="edge"/>
          <c:yMode val="edge"/>
          <c:x val="8.1604771418498062E-2"/>
          <c:y val="3.959938475432506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8.2770270270270271E-2"/>
          <c:y val="0.15183498160343994"/>
          <c:w val="0.67095801407474442"/>
          <c:h val="0.69675386002465511"/>
        </c:manualLayout>
      </c:layout>
      <c:lineChart>
        <c:grouping val="standard"/>
        <c:ser>
          <c:idx val="0"/>
          <c:order val="0"/>
          <c:tx>
            <c:strRef>
              <c:f>Kapacitet!$B$4</c:f>
              <c:strCache>
                <c:ptCount val="1"/>
                <c:pt idx="0">
                  <c:v>Batteriets kapacitet 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dLblPos val="t"/>
            <c:showVal val="1"/>
          </c:dLbls>
          <c:cat>
            <c:numRef>
              <c:f>Kapacitet!$E$5:$K$5</c:f>
              <c:numCache>
                <c:formatCode>General</c:formatCode>
                <c:ptCount val="7"/>
                <c:pt idx="0">
                  <c:v>-30</c:v>
                </c:pt>
                <c:pt idx="1">
                  <c:v>-20</c:v>
                </c:pt>
                <c:pt idx="2">
                  <c:v>-10</c:v>
                </c:pt>
                <c:pt idx="3">
                  <c:v>0</c:v>
                </c:pt>
                <c:pt idx="4">
                  <c:v>10</c:v>
                </c:pt>
                <c:pt idx="5">
                  <c:v>20</c:v>
                </c:pt>
                <c:pt idx="6">
                  <c:v>30</c:v>
                </c:pt>
              </c:numCache>
            </c:numRef>
          </c:cat>
          <c:val>
            <c:numRef>
              <c:f>Kapacitet!$E$4:$K$4</c:f>
              <c:numCache>
                <c:formatCode>0%</c:formatCode>
                <c:ptCount val="7"/>
                <c:pt idx="0">
                  <c:v>0.35</c:v>
                </c:pt>
                <c:pt idx="1">
                  <c:v>0.5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0.95</c:v>
                </c:pt>
                <c:pt idx="6">
                  <c:v>1</c:v>
                </c:pt>
              </c:numCache>
            </c:numRef>
          </c:val>
        </c:ser>
        <c:dLbls>
          <c:showVal val="1"/>
        </c:dLbls>
        <c:marker val="1"/>
        <c:axId val="68514560"/>
        <c:axId val="68516480"/>
      </c:lineChart>
      <c:catAx>
        <c:axId val="68514560"/>
        <c:scaling>
          <c:orientation val="minMax"/>
        </c:scaling>
        <c:axPos val="b"/>
        <c:majorGridlines/>
        <c:minorGridlines/>
        <c:title>
          <c:tx>
            <c:strRef>
              <c:f>Kapacitet!$W$12</c:f>
              <c:strCache>
                <c:ptCount val="1"/>
                <c:pt idx="0">
                  <c:v>Syre temperatur °C</c:v>
                </c:pt>
              </c:strCache>
            </c:strRef>
          </c:tx>
          <c:layout>
            <c:manualLayout>
              <c:xMode val="edge"/>
              <c:yMode val="edge"/>
              <c:x val="0.38250171653896331"/>
              <c:y val="0.93146330193573557"/>
            </c:manualLayout>
          </c:layout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175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a-DK"/>
            </a:p>
          </c:tx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8516480"/>
        <c:crosses val="autoZero"/>
        <c:auto val="1"/>
        <c:lblAlgn val="ctr"/>
        <c:lblOffset val="100"/>
        <c:tickLblSkip val="1"/>
        <c:tickMarkSkip val="1"/>
      </c:catAx>
      <c:valAx>
        <c:axId val="68516480"/>
        <c:scaling>
          <c:orientation val="minMax"/>
          <c:max val="1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strRef>
              <c:f>Kapacitet!$W$13</c:f>
              <c:strCache>
                <c:ptCount val="1"/>
                <c:pt idx="0">
                  <c:v>Batteriets kapacitet %</c:v>
                </c:pt>
              </c:strCache>
            </c:strRef>
          </c:tx>
          <c:layout>
            <c:manualLayout>
              <c:xMode val="edge"/>
              <c:yMode val="edge"/>
              <c:x val="1.3805738616912226E-2"/>
              <c:y val="0.37219776291404766"/>
            </c:manualLayout>
          </c:layout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175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a-DK"/>
            </a:p>
          </c:txPr>
        </c:title>
        <c:numFmt formatCode="0%" sourceLinked="0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85145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792871553463362"/>
          <c:y val="0.38332443293073576"/>
          <c:w val="0.18696480609728944"/>
          <c:h val="0.22656983218007848"/>
        </c:manualLayout>
      </c:layout>
      <c:spPr>
        <a:solidFill>
          <a:schemeClr val="accent6">
            <a:lumMod val="20000"/>
            <a:lumOff val="80000"/>
          </a:schemeClr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span"/>
  </c:chart>
  <c:spPr>
    <a:solidFill>
      <a:schemeClr val="accent1">
        <a:lumMod val="20000"/>
        <a:lumOff val="80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0.75000000000001465" l="0.70000000000000062" r="0.70000000000000062" t="0.75000000000001465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Ladespænding!$B$1</c:f>
          <c:strCache>
            <c:ptCount val="1"/>
            <c:pt idx="0">
              <c:v>Temperaturens indflydelse på ladespændingen. Når temperaturen falder skal ladespændingen stige</c:v>
            </c:pt>
          </c:strCache>
        </c:strRef>
      </c:tx>
      <c:layout>
        <c:manualLayout>
          <c:xMode val="edge"/>
          <c:yMode val="edge"/>
          <c:x val="9.7239160894361881E-2"/>
          <c:y val="3.959938475432506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8.2770270270270271E-2"/>
          <c:y val="0.15183498160343994"/>
          <c:w val="0.67095801407474365"/>
          <c:h val="0.69675386002465511"/>
        </c:manualLayout>
      </c:layout>
      <c:lineChart>
        <c:grouping val="standard"/>
        <c:ser>
          <c:idx val="0"/>
          <c:order val="0"/>
          <c:tx>
            <c:strRef>
              <c:f>Ladespænding!$B$3</c:f>
              <c:strCache>
                <c:ptCount val="1"/>
                <c:pt idx="0">
                  <c:v>Ladespænding per celle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dLblPos val="t"/>
            <c:showVal val="1"/>
          </c:dLbls>
          <c:cat>
            <c:numRef>
              <c:f>Ladespænding!$E$4:$L$4</c:f>
              <c:numCache>
                <c:formatCode>General</c:formatCode>
                <c:ptCount val="8"/>
                <c:pt idx="0">
                  <c:v>-30</c:v>
                </c:pt>
                <c:pt idx="1">
                  <c:v>-20</c:v>
                </c:pt>
                <c:pt idx="2">
                  <c:v>-10</c:v>
                </c:pt>
                <c:pt idx="3">
                  <c:v>0</c:v>
                </c:pt>
                <c:pt idx="4">
                  <c:v>10</c:v>
                </c:pt>
                <c:pt idx="5">
                  <c:v>20</c:v>
                </c:pt>
                <c:pt idx="6">
                  <c:v>30</c:v>
                </c:pt>
                <c:pt idx="7">
                  <c:v>40</c:v>
                </c:pt>
              </c:numCache>
            </c:numRef>
          </c:cat>
          <c:val>
            <c:numRef>
              <c:f>Ladespænding!$E$3:$L$3</c:f>
              <c:numCache>
                <c:formatCode>0.00</c:formatCode>
                <c:ptCount val="8"/>
                <c:pt idx="0">
                  <c:v>2.64</c:v>
                </c:pt>
                <c:pt idx="1">
                  <c:v>2.6</c:v>
                </c:pt>
                <c:pt idx="2">
                  <c:v>2.56</c:v>
                </c:pt>
                <c:pt idx="3">
                  <c:v>2.52</c:v>
                </c:pt>
                <c:pt idx="4">
                  <c:v>2.48</c:v>
                </c:pt>
                <c:pt idx="5">
                  <c:v>2.44</c:v>
                </c:pt>
                <c:pt idx="6">
                  <c:v>2.4</c:v>
                </c:pt>
                <c:pt idx="7">
                  <c:v>2.36</c:v>
                </c:pt>
              </c:numCache>
            </c:numRef>
          </c:val>
        </c:ser>
        <c:dLbls>
          <c:showVal val="1"/>
        </c:dLbls>
        <c:marker val="1"/>
        <c:axId val="70770688"/>
        <c:axId val="70772608"/>
      </c:lineChart>
      <c:catAx>
        <c:axId val="70770688"/>
        <c:scaling>
          <c:orientation val="minMax"/>
        </c:scaling>
        <c:axPos val="b"/>
        <c:majorGridlines/>
        <c:minorGridlines/>
        <c:title>
          <c:tx>
            <c:strRef>
              <c:f>Ladespænding!$W$11</c:f>
              <c:strCache>
                <c:ptCount val="1"/>
                <c:pt idx="0">
                  <c:v>Syre temperatur °C</c:v>
                </c:pt>
              </c:strCache>
            </c:strRef>
          </c:tx>
          <c:layout>
            <c:manualLayout>
              <c:xMode val="edge"/>
              <c:yMode val="edge"/>
              <c:x val="0.38250171653896331"/>
              <c:y val="0.93146330193573645"/>
            </c:manualLayout>
          </c:layout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175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a-DK"/>
            </a:p>
          </c:tx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70772608"/>
        <c:crosses val="autoZero"/>
        <c:auto val="1"/>
        <c:lblAlgn val="ctr"/>
        <c:lblOffset val="100"/>
        <c:tickLblSkip val="1"/>
        <c:tickMarkSkip val="1"/>
      </c:catAx>
      <c:valAx>
        <c:axId val="707726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strRef>
              <c:f>Ladespænding!$B$3</c:f>
              <c:strCache>
                <c:ptCount val="1"/>
                <c:pt idx="0">
                  <c:v>Ladespænding per celle</c:v>
                </c:pt>
              </c:strCache>
            </c:strRef>
          </c:tx>
          <c:layout>
            <c:manualLayout>
              <c:xMode val="edge"/>
              <c:yMode val="edge"/>
              <c:x val="1.380573897664272E-2"/>
              <c:y val="0.27064459930313589"/>
            </c:manualLayout>
          </c:layout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175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a-DK"/>
            </a:p>
          </c:txPr>
        </c:title>
        <c:numFmt formatCode="0.00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7077068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792871553463362"/>
          <c:y val="0.38332443293073537"/>
          <c:w val="0.18696480609728924"/>
          <c:h val="0.22656983218007834"/>
        </c:manualLayout>
      </c:layout>
      <c:spPr>
        <a:solidFill>
          <a:schemeClr val="accent6">
            <a:lumMod val="20000"/>
            <a:lumOff val="80000"/>
          </a:schemeClr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span"/>
  </c:chart>
  <c:spPr>
    <a:solidFill>
      <a:schemeClr val="accent1">
        <a:lumMod val="20000"/>
        <a:lumOff val="80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0.75000000000001465" l="0.70000000000000062" r="0.70000000000000062" t="0.75000000000001465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Cellespænding!$B$1</c:f>
          <c:strCache>
            <c:ptCount val="1"/>
            <c:pt idx="0">
              <c:v>Temperaturens indflydelse på cellespændingen (fuldt opladt). Når temperaturen falder stiger spændingen</c:v>
            </c:pt>
          </c:strCache>
        </c:strRef>
      </c:tx>
      <c:layout>
        <c:manualLayout>
          <c:xMode val="edge"/>
          <c:yMode val="edge"/>
          <c:x val="8.1290197576977502E-2"/>
          <c:y val="3.959938475432506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8.2770270270270271E-2"/>
          <c:y val="0.15183498160343994"/>
          <c:w val="0.67095801407474398"/>
          <c:h val="0.69675386002465511"/>
        </c:manualLayout>
      </c:layout>
      <c:lineChart>
        <c:grouping val="standard"/>
        <c:ser>
          <c:idx val="0"/>
          <c:order val="0"/>
          <c:tx>
            <c:strRef>
              <c:f>Cellespænding!$B$3</c:f>
              <c:strCache>
                <c:ptCount val="1"/>
                <c:pt idx="0">
                  <c:v>Cellespænding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dLblPos val="t"/>
            <c:showVal val="1"/>
          </c:dLbls>
          <c:cat>
            <c:numRef>
              <c:f>Cellespænding!$E$4:$L$4</c:f>
              <c:numCache>
                <c:formatCode>General</c:formatCode>
                <c:ptCount val="8"/>
                <c:pt idx="0">
                  <c:v>-30</c:v>
                </c:pt>
                <c:pt idx="1">
                  <c:v>-20</c:v>
                </c:pt>
                <c:pt idx="2">
                  <c:v>-10</c:v>
                </c:pt>
                <c:pt idx="3">
                  <c:v>0</c:v>
                </c:pt>
                <c:pt idx="4">
                  <c:v>10</c:v>
                </c:pt>
                <c:pt idx="5">
                  <c:v>20</c:v>
                </c:pt>
                <c:pt idx="6">
                  <c:v>30</c:v>
                </c:pt>
                <c:pt idx="7">
                  <c:v>40</c:v>
                </c:pt>
              </c:numCache>
            </c:numRef>
          </c:cat>
          <c:val>
            <c:numRef>
              <c:f>Cellespænding!$E$3:$L$3</c:f>
              <c:numCache>
                <c:formatCode>0.000</c:formatCode>
                <c:ptCount val="8"/>
                <c:pt idx="0">
                  <c:v>2.1720000000000002</c:v>
                </c:pt>
                <c:pt idx="1">
                  <c:v>2.165</c:v>
                </c:pt>
                <c:pt idx="2">
                  <c:v>2.1579999999999999</c:v>
                </c:pt>
                <c:pt idx="3">
                  <c:v>2.1509999999999998</c:v>
                </c:pt>
                <c:pt idx="4">
                  <c:v>2.1440000000000001</c:v>
                </c:pt>
                <c:pt idx="5">
                  <c:v>2.137</c:v>
                </c:pt>
                <c:pt idx="6">
                  <c:v>2.13</c:v>
                </c:pt>
                <c:pt idx="7">
                  <c:v>2.1230000000000002</c:v>
                </c:pt>
              </c:numCache>
            </c:numRef>
          </c:val>
        </c:ser>
        <c:dLbls>
          <c:showVal val="1"/>
        </c:dLbls>
        <c:marker val="1"/>
        <c:axId val="68570112"/>
        <c:axId val="68605056"/>
      </c:lineChart>
      <c:catAx>
        <c:axId val="68570112"/>
        <c:scaling>
          <c:orientation val="minMax"/>
        </c:scaling>
        <c:axPos val="b"/>
        <c:majorGridlines/>
        <c:minorGridlines/>
        <c:title>
          <c:tx>
            <c:strRef>
              <c:f>Cellespænding!$W$11</c:f>
              <c:strCache>
                <c:ptCount val="1"/>
                <c:pt idx="0">
                  <c:v>Syre temperatur °C</c:v>
                </c:pt>
              </c:strCache>
            </c:strRef>
          </c:tx>
          <c:layout>
            <c:manualLayout>
              <c:xMode val="edge"/>
              <c:yMode val="edge"/>
              <c:x val="0.38250171653896331"/>
              <c:y val="0.93146330193573601"/>
            </c:manualLayout>
          </c:layout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175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a-DK"/>
            </a:p>
          </c:tx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8605056"/>
        <c:crosses val="autoZero"/>
        <c:auto val="1"/>
        <c:lblAlgn val="ctr"/>
        <c:lblOffset val="100"/>
        <c:tickLblSkip val="1"/>
        <c:tickMarkSkip val="1"/>
      </c:catAx>
      <c:valAx>
        <c:axId val="686050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strRef>
              <c:f>Cellespænding!$B$3</c:f>
              <c:strCache>
                <c:ptCount val="1"/>
                <c:pt idx="0">
                  <c:v>Cellespænding</c:v>
                </c:pt>
              </c:strCache>
            </c:strRef>
          </c:tx>
          <c:layout>
            <c:manualLayout>
              <c:xMode val="edge"/>
              <c:yMode val="edge"/>
              <c:x val="1.380573897664272E-2"/>
              <c:y val="0.27064459930313589"/>
            </c:manualLayout>
          </c:layout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175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a-DK"/>
            </a:p>
          </c:txPr>
        </c:title>
        <c:numFmt formatCode="0.000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857011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792871553463362"/>
          <c:y val="0.38332443293073554"/>
          <c:w val="0.18696480609728933"/>
          <c:h val="0.22656983218007842"/>
        </c:manualLayout>
      </c:layout>
      <c:spPr>
        <a:solidFill>
          <a:schemeClr val="accent6">
            <a:lumMod val="20000"/>
            <a:lumOff val="80000"/>
          </a:schemeClr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span"/>
  </c:chart>
  <c:spPr>
    <a:solidFill>
      <a:schemeClr val="accent1">
        <a:lumMod val="20000"/>
        <a:lumOff val="80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0.75000000000001465" l="0.70000000000000062" r="0.70000000000000062" t="0.75000000000001465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plotArea>
      <c:layout>
        <c:manualLayout>
          <c:layoutTarget val="inner"/>
          <c:xMode val="edge"/>
          <c:yMode val="edge"/>
          <c:x val="0.12461101247415944"/>
          <c:y val="9.8814419957425265E-2"/>
          <c:w val="0.79927587908475861"/>
          <c:h val="0.65217517171900463"/>
        </c:manualLayout>
      </c:layout>
      <c:scatterChart>
        <c:scatterStyle val="lineMarker"/>
        <c:ser>
          <c:idx val="0"/>
          <c:order val="0"/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dPt>
            <c:idx val="0"/>
            <c:spPr>
              <a:ln w="25400">
                <a:solidFill>
                  <a:schemeClr val="tx1"/>
                </a:solidFill>
              </a:ln>
            </c:spPr>
          </c:dPt>
          <c:dPt>
            <c:idx val="8"/>
            <c:spPr>
              <a:ln w="25400">
                <a:solidFill>
                  <a:schemeClr val="tx1"/>
                </a:solidFill>
              </a:ln>
            </c:spPr>
          </c:dPt>
          <c:dLbls>
            <c:numFmt formatCode="#,##0.0" sourceLinked="0"/>
            <c:txPr>
              <a:bodyPr/>
              <a:lstStyle/>
              <a:p>
                <a:pPr>
                  <a:defRPr sz="600"/>
                </a:pPr>
                <a:endParaRPr lang="da-DK"/>
              </a:p>
            </c:txPr>
            <c:dLblPos val="b"/>
            <c:showVal val="1"/>
          </c:dLbls>
          <c:xVal>
            <c:numRef>
              <c:f>Info!$E$26:$W$26</c:f>
              <c:numCache>
                <c:formatCode>0.00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20</c:v>
                </c:pt>
                <c:pt idx="11">
                  <c:v>30</c:v>
                </c:pt>
                <c:pt idx="12">
                  <c:v>40</c:v>
                </c:pt>
                <c:pt idx="13">
                  <c:v>50</c:v>
                </c:pt>
                <c:pt idx="14">
                  <c:v>60</c:v>
                </c:pt>
                <c:pt idx="15">
                  <c:v>70</c:v>
                </c:pt>
                <c:pt idx="16">
                  <c:v>80</c:v>
                </c:pt>
                <c:pt idx="17">
                  <c:v>90</c:v>
                </c:pt>
                <c:pt idx="18">
                  <c:v>100</c:v>
                </c:pt>
              </c:numCache>
            </c:numRef>
          </c:xVal>
          <c:yVal>
            <c:numRef>
              <c:f>Info!$E$29:$W$29</c:f>
              <c:numCache>
                <c:formatCode>0.00</c:formatCode>
                <c:ptCount val="19"/>
                <c:pt idx="0">
                  <c:v>162.06565966927624</c:v>
                </c:pt>
                <c:pt idx="1">
                  <c:v>131.63822043342375</c:v>
                </c:pt>
                <c:pt idx="2">
                  <c:v>116.56136506907157</c:v>
                </c:pt>
                <c:pt idx="3">
                  <c:v>106.9234599991188</c:v>
                </c:pt>
                <c:pt idx="4">
                  <c:v>100</c:v>
                </c:pt>
                <c:pt idx="5">
                  <c:v>94.677248099907388</c:v>
                </c:pt>
                <c:pt idx="6">
                  <c:v>90.398575994580924</c:v>
                </c:pt>
                <c:pt idx="7">
                  <c:v>86.848836610984335</c:v>
                </c:pt>
                <c:pt idx="8">
                  <c:v>83.833625547146468</c:v>
                </c:pt>
                <c:pt idx="9">
                  <c:v>81.225239635623552</c:v>
                </c:pt>
                <c:pt idx="10">
                  <c:v>65.975395538644705</c:v>
                </c:pt>
                <c:pt idx="11">
                  <c:v>58.419068106786554</c:v>
                </c:pt>
                <c:pt idx="12">
                  <c:v>53.588673126814669</c:v>
                </c:pt>
                <c:pt idx="13">
                  <c:v>50.118723362727224</c:v>
                </c:pt>
                <c:pt idx="14">
                  <c:v>47.451028062635501</c:v>
                </c:pt>
                <c:pt idx="15">
                  <c:v>45.306612226568731</c:v>
                </c:pt>
                <c:pt idx="16">
                  <c:v>43.527528164806206</c:v>
                </c:pt>
                <c:pt idx="17">
                  <c:v>42.016342872918941</c:v>
                </c:pt>
                <c:pt idx="18">
                  <c:v>40.709053153690434</c:v>
                </c:pt>
              </c:numCache>
            </c:numRef>
          </c:yVal>
        </c:ser>
        <c:axId val="70801664"/>
        <c:axId val="70803840"/>
      </c:scatterChart>
      <c:valAx>
        <c:axId val="70801664"/>
        <c:scaling>
          <c:orientation val="minMax"/>
        </c:scaling>
        <c:axPos val="b"/>
        <c:majorGridlines/>
        <c:minorGridlines/>
        <c:title>
          <c:tx>
            <c:strRef>
              <c:f>Info!$B$26</c:f>
              <c:strCache>
                <c:ptCount val="1"/>
                <c:pt idx="0">
                  <c:v>Afladnings strøm [A]</c:v>
                </c:pt>
              </c:strCache>
            </c:strRef>
          </c:tx>
          <c:layout>
            <c:manualLayout>
              <c:xMode val="edge"/>
              <c:yMode val="edge"/>
              <c:x val="0.44357067619836998"/>
              <c:y val="0.85770920480643065"/>
            </c:manualLayout>
          </c:layout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600" b="0" i="0" u="none" strike="noStrike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da-DK"/>
            </a:p>
          </c:txPr>
        </c:title>
        <c:numFmt formatCode="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da-DK"/>
          </a:p>
        </c:txPr>
        <c:crossAx val="70803840"/>
        <c:crosses val="autoZero"/>
        <c:crossBetween val="midCat"/>
      </c:valAx>
      <c:valAx>
        <c:axId val="70803840"/>
        <c:scaling>
          <c:orientation val="minMax"/>
        </c:scaling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strRef>
              <c:f>Info!$B$29</c:f>
              <c:strCache>
                <c:ptCount val="1"/>
                <c:pt idx="0">
                  <c:v>Total [Ah] tilgængelig</c:v>
                </c:pt>
              </c:strCache>
            </c:strRef>
          </c:tx>
          <c:layout>
            <c:manualLayout>
              <c:xMode val="edge"/>
              <c:yMode val="edge"/>
              <c:x val="3.7830686529580507E-2"/>
              <c:y val="0.26906364622403278"/>
            </c:manualLayout>
          </c:layout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600" b="0" i="0" u="none" strike="noStrike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da-DK"/>
            </a:p>
          </c:txPr>
        </c:title>
        <c:numFmt formatCode="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da-DK"/>
          </a:p>
        </c:txPr>
        <c:crossAx val="70801664"/>
        <c:crosses val="autoZero"/>
        <c:crossBetween val="midCat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dispBlanksAs val="span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 w="12700" cap="rnd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233" r="0.75000000000000233" t="1" header="0.49212598450000111" footer="0.4921259845000011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Info!$B$59</c:f>
          <c:strCache>
            <c:ptCount val="1"/>
            <c:pt idx="0">
              <c:v>Afladnings strøm [A], Tid [h], Peukerts korrigerede amp. Ip og Total [Ah] tilgængelig</c:v>
            </c:pt>
          </c:strCache>
        </c:strRef>
      </c:tx>
      <c:layout/>
      <c:txPr>
        <a:bodyPr/>
        <a:lstStyle/>
        <a:p>
          <a:pPr>
            <a:defRPr sz="2000">
              <a:latin typeface="+mn-lt"/>
            </a:defRPr>
          </a:pPr>
          <a:endParaRPr lang="da-DK"/>
        </a:p>
      </c:txPr>
    </c:title>
    <c:plotArea>
      <c:layout/>
      <c:lineChart>
        <c:grouping val="standard"/>
        <c:ser>
          <c:idx val="0"/>
          <c:order val="0"/>
          <c:tx>
            <c:strRef>
              <c:f>Info!$B$26</c:f>
              <c:strCache>
                <c:ptCount val="1"/>
                <c:pt idx="0">
                  <c:v>Afladnings strøm [A]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600">
                    <a:solidFill>
                      <a:srgbClr val="FF0000"/>
                    </a:solidFill>
                  </a:defRPr>
                </a:pPr>
                <a:endParaRPr lang="da-DK"/>
              </a:p>
            </c:txPr>
            <c:dLblPos val="t"/>
            <c:showVal val="1"/>
          </c:dLbls>
          <c:cat>
            <c:numRef>
              <c:f>Info!$E$29:$W$29</c:f>
              <c:numCache>
                <c:formatCode>0.00</c:formatCode>
                <c:ptCount val="19"/>
                <c:pt idx="0">
                  <c:v>162.06565966927624</c:v>
                </c:pt>
                <c:pt idx="1">
                  <c:v>131.63822043342375</c:v>
                </c:pt>
                <c:pt idx="2">
                  <c:v>116.56136506907157</c:v>
                </c:pt>
                <c:pt idx="3">
                  <c:v>106.9234599991188</c:v>
                </c:pt>
                <c:pt idx="4">
                  <c:v>100</c:v>
                </c:pt>
                <c:pt idx="5">
                  <c:v>94.677248099907388</c:v>
                </c:pt>
                <c:pt idx="6">
                  <c:v>90.398575994580924</c:v>
                </c:pt>
                <c:pt idx="7">
                  <c:v>86.848836610984335</c:v>
                </c:pt>
                <c:pt idx="8">
                  <c:v>83.833625547146468</c:v>
                </c:pt>
                <c:pt idx="9">
                  <c:v>81.225239635623552</c:v>
                </c:pt>
                <c:pt idx="10">
                  <c:v>65.975395538644705</c:v>
                </c:pt>
                <c:pt idx="11">
                  <c:v>58.419068106786554</c:v>
                </c:pt>
                <c:pt idx="12">
                  <c:v>53.588673126814669</c:v>
                </c:pt>
                <c:pt idx="13">
                  <c:v>50.118723362727224</c:v>
                </c:pt>
                <c:pt idx="14">
                  <c:v>47.451028062635501</c:v>
                </c:pt>
                <c:pt idx="15">
                  <c:v>45.306612226568731</c:v>
                </c:pt>
                <c:pt idx="16">
                  <c:v>43.527528164806206</c:v>
                </c:pt>
                <c:pt idx="17">
                  <c:v>42.016342872918941</c:v>
                </c:pt>
                <c:pt idx="18">
                  <c:v>40.709053153690434</c:v>
                </c:pt>
              </c:numCache>
            </c:numRef>
          </c:cat>
          <c:val>
            <c:numRef>
              <c:f>Info!$E$26:$W$26</c:f>
              <c:numCache>
                <c:formatCode>0.00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20</c:v>
                </c:pt>
                <c:pt idx="11">
                  <c:v>30</c:v>
                </c:pt>
                <c:pt idx="12">
                  <c:v>40</c:v>
                </c:pt>
                <c:pt idx="13">
                  <c:v>50</c:v>
                </c:pt>
                <c:pt idx="14">
                  <c:v>60</c:v>
                </c:pt>
                <c:pt idx="15">
                  <c:v>70</c:v>
                </c:pt>
                <c:pt idx="16">
                  <c:v>80</c:v>
                </c:pt>
                <c:pt idx="17">
                  <c:v>90</c:v>
                </c:pt>
                <c:pt idx="18">
                  <c:v>100</c:v>
                </c:pt>
              </c:numCache>
            </c:numRef>
          </c:val>
        </c:ser>
        <c:marker val="1"/>
        <c:axId val="72438528"/>
        <c:axId val="72440064"/>
      </c:lineChart>
      <c:lineChart>
        <c:grouping val="standard"/>
        <c:ser>
          <c:idx val="1"/>
          <c:order val="1"/>
          <c:tx>
            <c:strRef>
              <c:f>Info!$B$27</c:f>
              <c:strCache>
                <c:ptCount val="1"/>
                <c:pt idx="0">
                  <c:v>Tid [h]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600">
                    <a:solidFill>
                      <a:srgbClr val="00B050"/>
                    </a:solidFill>
                  </a:defRPr>
                </a:pPr>
                <a:endParaRPr lang="da-DK"/>
              </a:p>
            </c:txPr>
            <c:dLblPos val="t"/>
            <c:showVal val="1"/>
          </c:dLbls>
          <c:val>
            <c:numRef>
              <c:f>Info!$E$27:$W$27</c:f>
              <c:numCache>
                <c:formatCode>0.00</c:formatCode>
                <c:ptCount val="19"/>
                <c:pt idx="0">
                  <c:v>162.06565966927624</c:v>
                </c:pt>
                <c:pt idx="1">
                  <c:v>65.819110216711877</c:v>
                </c:pt>
                <c:pt idx="2">
                  <c:v>38.853788356357192</c:v>
                </c:pt>
                <c:pt idx="3">
                  <c:v>26.730864999779701</c:v>
                </c:pt>
                <c:pt idx="4">
                  <c:v>20</c:v>
                </c:pt>
                <c:pt idx="5">
                  <c:v>15.779541349984566</c:v>
                </c:pt>
                <c:pt idx="6">
                  <c:v>12.914082284940132</c:v>
                </c:pt>
                <c:pt idx="7">
                  <c:v>10.856104576373042</c:v>
                </c:pt>
                <c:pt idx="8">
                  <c:v>9.3148472830162738</c:v>
                </c:pt>
                <c:pt idx="9">
                  <c:v>8.1225239635623545</c:v>
                </c:pt>
                <c:pt idx="10">
                  <c:v>3.2987697769322355</c:v>
                </c:pt>
                <c:pt idx="11">
                  <c:v>1.9473022702262184</c:v>
                </c:pt>
                <c:pt idx="12">
                  <c:v>1.3397168281703666</c:v>
                </c:pt>
                <c:pt idx="13">
                  <c:v>1.0023744672545445</c:v>
                </c:pt>
                <c:pt idx="14">
                  <c:v>0.79085046771059164</c:v>
                </c:pt>
                <c:pt idx="15">
                  <c:v>0.64723731752241043</c:v>
                </c:pt>
                <c:pt idx="16">
                  <c:v>0.54409410206007758</c:v>
                </c:pt>
                <c:pt idx="17">
                  <c:v>0.46684825414354375</c:v>
                </c:pt>
                <c:pt idx="18">
                  <c:v>0.40709053153690433</c:v>
                </c:pt>
              </c:numCache>
            </c:numRef>
          </c:val>
        </c:ser>
        <c:ser>
          <c:idx val="2"/>
          <c:order val="2"/>
          <c:tx>
            <c:strRef>
              <c:f>Info!$B$28</c:f>
              <c:strCache>
                <c:ptCount val="1"/>
                <c:pt idx="0">
                  <c:v>Peukerts korrigerede amp. Ip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600">
                    <a:solidFill>
                      <a:srgbClr val="0070C0"/>
                    </a:solidFill>
                  </a:defRPr>
                </a:pPr>
                <a:endParaRPr lang="da-DK"/>
              </a:p>
            </c:txPr>
            <c:dLblPos val="t"/>
            <c:showVal val="1"/>
          </c:dLbls>
          <c:val>
            <c:numRef>
              <c:f>Info!$E$28:$W$28</c:f>
              <c:numCache>
                <c:formatCode>0.00</c:formatCode>
                <c:ptCount val="19"/>
                <c:pt idx="0">
                  <c:v>0.6170338627200096</c:v>
                </c:pt>
                <c:pt idx="1">
                  <c:v>1.5193155858647478</c:v>
                </c:pt>
                <c:pt idx="2">
                  <c:v>2.573751601332285</c:v>
                </c:pt>
                <c:pt idx="3">
                  <c:v>3.7409937912904851</c:v>
                </c:pt>
                <c:pt idx="4">
                  <c:v>5</c:v>
                </c:pt>
                <c:pt idx="5">
                  <c:v>6.3373198106355497</c:v>
                </c:pt>
                <c:pt idx="6">
                  <c:v>7.7434848093399467</c:v>
                </c:pt>
                <c:pt idx="7">
                  <c:v>9.2114072130105971</c:v>
                </c:pt>
                <c:pt idx="8">
                  <c:v>10.735549060726918</c:v>
                </c:pt>
                <c:pt idx="9">
                  <c:v>12.311444133449168</c:v>
                </c:pt>
                <c:pt idx="10">
                  <c:v>30.314331330207967</c:v>
                </c:pt>
                <c:pt idx="11">
                  <c:v>51.35309578229117</c:v>
                </c:pt>
                <c:pt idx="12">
                  <c:v>74.642639322944618</c:v>
                </c:pt>
                <c:pt idx="13">
                  <c:v>99.763115748443965</c:v>
                </c:pt>
                <c:pt idx="14">
                  <c:v>126.44615396066821</c:v>
                </c:pt>
                <c:pt idx="15">
                  <c:v>154.50283426609988</c:v>
                </c:pt>
                <c:pt idx="16">
                  <c:v>183.79173679952552</c:v>
                </c:pt>
                <c:pt idx="17">
                  <c:v>214.20236471367963</c:v>
                </c:pt>
                <c:pt idx="18">
                  <c:v>245.6456052231583</c:v>
                </c:pt>
              </c:numCache>
            </c:numRef>
          </c:val>
        </c:ser>
        <c:ser>
          <c:idx val="3"/>
          <c:order val="3"/>
          <c:tx>
            <c:strRef>
              <c:f>Info!$B$29</c:f>
              <c:strCache>
                <c:ptCount val="1"/>
                <c:pt idx="0">
                  <c:v>Total [Ah] tilgængelig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600">
                    <a:solidFill>
                      <a:srgbClr val="7030A0"/>
                    </a:solidFill>
                  </a:defRPr>
                </a:pPr>
                <a:endParaRPr lang="da-DK"/>
              </a:p>
            </c:txPr>
            <c:dLblPos val="t"/>
            <c:showVal val="1"/>
          </c:dLbls>
          <c:val>
            <c:numRef>
              <c:f>Info!$E$29:$W$29</c:f>
              <c:numCache>
                <c:formatCode>0.00</c:formatCode>
                <c:ptCount val="19"/>
                <c:pt idx="0">
                  <c:v>162.06565966927624</c:v>
                </c:pt>
                <c:pt idx="1">
                  <c:v>131.63822043342375</c:v>
                </c:pt>
                <c:pt idx="2">
                  <c:v>116.56136506907157</c:v>
                </c:pt>
                <c:pt idx="3">
                  <c:v>106.9234599991188</c:v>
                </c:pt>
                <c:pt idx="4">
                  <c:v>100</c:v>
                </c:pt>
                <c:pt idx="5">
                  <c:v>94.677248099907388</c:v>
                </c:pt>
                <c:pt idx="6">
                  <c:v>90.398575994580924</c:v>
                </c:pt>
                <c:pt idx="7">
                  <c:v>86.848836610984335</c:v>
                </c:pt>
                <c:pt idx="8">
                  <c:v>83.833625547146468</c:v>
                </c:pt>
                <c:pt idx="9">
                  <c:v>81.225239635623552</c:v>
                </c:pt>
                <c:pt idx="10">
                  <c:v>65.975395538644705</c:v>
                </c:pt>
                <c:pt idx="11">
                  <c:v>58.419068106786554</c:v>
                </c:pt>
                <c:pt idx="12">
                  <c:v>53.588673126814669</c:v>
                </c:pt>
                <c:pt idx="13">
                  <c:v>50.118723362727224</c:v>
                </c:pt>
                <c:pt idx="14">
                  <c:v>47.451028062635501</c:v>
                </c:pt>
                <c:pt idx="15">
                  <c:v>45.306612226568731</c:v>
                </c:pt>
                <c:pt idx="16">
                  <c:v>43.527528164806206</c:v>
                </c:pt>
                <c:pt idx="17">
                  <c:v>42.016342872918941</c:v>
                </c:pt>
                <c:pt idx="18">
                  <c:v>40.709053153690434</c:v>
                </c:pt>
              </c:numCache>
            </c:numRef>
          </c:val>
        </c:ser>
        <c:marker val="1"/>
        <c:axId val="72459776"/>
        <c:axId val="72458240"/>
      </c:lineChart>
      <c:catAx>
        <c:axId val="72438528"/>
        <c:scaling>
          <c:orientation val="minMax"/>
        </c:scaling>
        <c:axPos val="b"/>
        <c:majorGridlines/>
        <c:minorGridlines/>
        <c:numFmt formatCode="0.00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72440064"/>
        <c:crosses val="autoZero"/>
        <c:auto val="1"/>
        <c:lblAlgn val="ctr"/>
        <c:lblOffset val="100"/>
        <c:tickLblSkip val="1"/>
        <c:tickMarkSkip val="1"/>
      </c:catAx>
      <c:valAx>
        <c:axId val="72440064"/>
        <c:scaling>
          <c:orientation val="minMax"/>
        </c:scaling>
        <c:axPos val="l"/>
        <c:majorGridlines/>
        <c:minorGridlines/>
        <c:numFmt formatCode="0.00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+mn-lt"/>
                <a:ea typeface="Arial"/>
                <a:cs typeface="Arial"/>
              </a:defRPr>
            </a:pPr>
            <a:endParaRPr lang="da-DK"/>
          </a:p>
        </c:txPr>
        <c:crossAx val="72438528"/>
        <c:crosses val="autoZero"/>
        <c:crossBetween val="midCat"/>
      </c:valAx>
      <c:valAx>
        <c:axId val="72458240"/>
        <c:scaling>
          <c:orientation val="minMax"/>
        </c:scaling>
        <c:axPos val="r"/>
        <c:majorGridlines/>
        <c:numFmt formatCode="0.00" sourceLinked="1"/>
        <c:tickLblPos val="nextTo"/>
        <c:txPr>
          <a:bodyPr/>
          <a:lstStyle/>
          <a:p>
            <a:pPr>
              <a:defRPr sz="1000" baseline="0">
                <a:solidFill>
                  <a:srgbClr val="00B050"/>
                </a:solidFill>
                <a:latin typeface="Calibri" pitchFamily="34" charset="0"/>
              </a:defRPr>
            </a:pPr>
            <a:endParaRPr lang="da-DK"/>
          </a:p>
        </c:txPr>
        <c:crossAx val="72459776"/>
        <c:crosses val="max"/>
        <c:crossBetween val="between"/>
      </c:valAx>
      <c:catAx>
        <c:axId val="72459776"/>
        <c:scaling>
          <c:orientation val="minMax"/>
        </c:scaling>
        <c:delete val="1"/>
        <c:axPos val="b"/>
        <c:tickLblPos val="none"/>
        <c:crossAx val="72458240"/>
        <c:crosses val="autoZero"/>
        <c:auto val="1"/>
        <c:lblAlgn val="ctr"/>
        <c:lblOffset val="100"/>
      </c:cat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txPr>
        <a:bodyPr/>
        <a:lstStyle/>
        <a:p>
          <a:pPr>
            <a:defRPr sz="800"/>
          </a:pPr>
          <a:endParaRPr lang="da-DK"/>
        </a:p>
      </c:txPr>
    </c:legend>
    <c:plotVisOnly val="1"/>
    <c:dispBlanksAs val="span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1465" r="0.7500000000000146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68580</xdr:rowOff>
    </xdr:from>
    <xdr:to>
      <xdr:col>19</xdr:col>
      <xdr:colOff>243840</xdr:colOff>
      <xdr:row>28</xdr:row>
      <xdr:rowOff>160020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68580</xdr:rowOff>
    </xdr:from>
    <xdr:to>
      <xdr:col>19</xdr:col>
      <xdr:colOff>243840</xdr:colOff>
      <xdr:row>28</xdr:row>
      <xdr:rowOff>160020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5</xdr:row>
      <xdr:rowOff>91440</xdr:rowOff>
    </xdr:from>
    <xdr:to>
      <xdr:col>19</xdr:col>
      <xdr:colOff>205740</xdr:colOff>
      <xdr:row>28</xdr:row>
      <xdr:rowOff>137160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5</xdr:row>
      <xdr:rowOff>91440</xdr:rowOff>
    </xdr:from>
    <xdr:to>
      <xdr:col>19</xdr:col>
      <xdr:colOff>205740</xdr:colOff>
      <xdr:row>28</xdr:row>
      <xdr:rowOff>137160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68580</xdr:colOff>
      <xdr:row>33</xdr:row>
      <xdr:rowOff>76200</xdr:rowOff>
    </xdr:from>
    <xdr:to>
      <xdr:col>18</xdr:col>
      <xdr:colOff>563880</xdr:colOff>
      <xdr:row>58</xdr:row>
      <xdr:rowOff>30480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61</xdr:row>
      <xdr:rowOff>137160</xdr:rowOff>
    </xdr:from>
    <xdr:to>
      <xdr:col>18</xdr:col>
      <xdr:colOff>586740</xdr:colOff>
      <xdr:row>86</xdr:row>
      <xdr:rowOff>129540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mpingferie.dk/2004Design/forumThread.asp?postGuid=714741" TargetMode="External"/><Relationship Id="rId2" Type="http://schemas.openxmlformats.org/officeDocument/2006/relationships/hyperlink" Target="http://conversion1.smartequip.net/manufacturers/TOUCAN/OPS_DK/MA0272-01_PAGE_64.swf" TargetMode="External"/><Relationship Id="rId1" Type="http://schemas.openxmlformats.org/officeDocument/2006/relationships/hyperlink" Target="http://www.walter-lystfisker.dk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alter-lystfisker.dk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alter-lystfisker.dk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walter-lystfisker.dk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n.wikipedia.org/wiki/Coulomb" TargetMode="External"/><Relationship Id="rId3" Type="http://schemas.openxmlformats.org/officeDocument/2006/relationships/hyperlink" Target="https://en.wikipedia.org/wiki/Deep_cycle_battery" TargetMode="External"/><Relationship Id="rId7" Type="http://schemas.openxmlformats.org/officeDocument/2006/relationships/hyperlink" Target="http://www.smartgauge.co.uk/peukert_depth.html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en.wikipedia.org/wiki/Automotive_battery" TargetMode="External"/><Relationship Id="rId1" Type="http://schemas.openxmlformats.org/officeDocument/2006/relationships/hyperlink" Target="http://www.walter-lystfisker.dk/" TargetMode="External"/><Relationship Id="rId6" Type="http://schemas.openxmlformats.org/officeDocument/2006/relationships/hyperlink" Target="https://en.wikipedia.org/wiki/Battery_electric_vehicle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https://en.wikipedia.org/wiki/VRLA_battery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en.wikipedia.org/wiki/Peukert%27s_law" TargetMode="External"/><Relationship Id="rId9" Type="http://schemas.openxmlformats.org/officeDocument/2006/relationships/hyperlink" Target="https://en.wikipedia.org/wiki/Rechargeable_battery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hyperlink" Target="http://www.walter-lystfiske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W45"/>
  <sheetViews>
    <sheetView tabSelected="1" workbookViewId="0"/>
  </sheetViews>
  <sheetFormatPr defaultColWidth="8.85546875" defaultRowHeight="15"/>
  <cols>
    <col min="1" max="1" width="1.7109375" style="2" customWidth="1"/>
    <col min="2" max="13" width="8.85546875" style="2"/>
    <col min="14" max="15" width="8.85546875" style="2" customWidth="1"/>
    <col min="16" max="17" width="8.85546875" style="2"/>
    <col min="18" max="19" width="8.85546875" style="2" customWidth="1"/>
    <col min="20" max="22" width="8.85546875" style="2"/>
    <col min="23" max="23" width="16" style="2" bestFit="1" customWidth="1"/>
    <col min="24" max="16384" width="8.85546875" style="2"/>
  </cols>
  <sheetData>
    <row r="1" spans="1:23" ht="15.75">
      <c r="A1" s="1"/>
      <c r="B1" s="148" t="s">
        <v>33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"/>
      <c r="U1" s="1"/>
      <c r="V1" s="1"/>
      <c r="W1" s="1"/>
    </row>
    <row r="2" spans="1:23" ht="15.75">
      <c r="A2" s="1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7" t="str">
        <f>CONCATENATE(R4,R5,O5)</f>
        <v>Vfnominel ved 30 °C 1,29 Kg/L</v>
      </c>
      <c r="O2" s="18"/>
      <c r="P2" s="18"/>
      <c r="Q2" s="18"/>
      <c r="R2" s="35" t="str">
        <f>IF(R5=K3,"",IF(R5&lt;K3,"Batteriet trænger til opladning",IF(R3&gt;K3,"","")))</f>
        <v/>
      </c>
      <c r="S2" s="18"/>
      <c r="T2" s="1"/>
      <c r="U2" s="1"/>
      <c r="V2" s="1"/>
      <c r="W2" s="1"/>
    </row>
    <row r="3" spans="1:23">
      <c r="A3" s="1"/>
      <c r="B3" s="149" t="s">
        <v>34</v>
      </c>
      <c r="C3" s="149"/>
      <c r="D3" s="149"/>
      <c r="E3" s="31">
        <v>1.3320000000000001</v>
      </c>
      <c r="F3" s="32">
        <v>1.325</v>
      </c>
      <c r="G3" s="31">
        <v>1.3180000000000001</v>
      </c>
      <c r="H3" s="31">
        <v>1.3109999999999999</v>
      </c>
      <c r="I3" s="31">
        <v>1.304</v>
      </c>
      <c r="J3" s="32">
        <v>1.2969999999999999</v>
      </c>
      <c r="K3" s="32">
        <v>1.29</v>
      </c>
      <c r="L3" s="31">
        <v>1.2829999999999999</v>
      </c>
      <c r="M3" s="24" t="s">
        <v>11</v>
      </c>
      <c r="N3" s="5"/>
      <c r="O3" s="5"/>
      <c r="P3" s="5"/>
      <c r="Q3" s="1"/>
      <c r="R3" s="1"/>
      <c r="S3" s="1"/>
      <c r="T3" s="1"/>
      <c r="U3" s="1"/>
      <c r="V3" s="4"/>
      <c r="W3" s="1"/>
    </row>
    <row r="4" spans="1:23">
      <c r="A4" s="1"/>
      <c r="B4" s="149" t="s">
        <v>19</v>
      </c>
      <c r="C4" s="149"/>
      <c r="D4" s="149"/>
      <c r="E4" s="25">
        <v>-30</v>
      </c>
      <c r="F4" s="26">
        <v>-20</v>
      </c>
      <c r="G4" s="25">
        <v>-10</v>
      </c>
      <c r="H4" s="25">
        <v>0</v>
      </c>
      <c r="I4" s="25">
        <v>10</v>
      </c>
      <c r="J4" s="26">
        <v>20</v>
      </c>
      <c r="K4" s="26">
        <v>30</v>
      </c>
      <c r="L4" s="25">
        <v>40</v>
      </c>
      <c r="M4" s="27" t="s">
        <v>4</v>
      </c>
      <c r="N4" s="34" t="s">
        <v>38</v>
      </c>
      <c r="O4" s="19" t="s">
        <v>39</v>
      </c>
      <c r="P4" s="20" t="s">
        <v>37</v>
      </c>
      <c r="Q4" s="16"/>
      <c r="R4" s="147" t="s">
        <v>41</v>
      </c>
      <c r="S4" s="147"/>
      <c r="T4" s="37" t="s">
        <v>13</v>
      </c>
      <c r="U4" s="36"/>
      <c r="V4" s="4"/>
      <c r="W4" s="1"/>
    </row>
    <row r="5" spans="1:23">
      <c r="A5" s="1"/>
      <c r="B5" s="1" t="s">
        <v>9</v>
      </c>
      <c r="C5" s="1"/>
      <c r="D5" s="1"/>
      <c r="E5" s="1"/>
      <c r="F5" s="1"/>
      <c r="G5" s="1"/>
      <c r="H5" s="1"/>
      <c r="I5" s="147" t="s">
        <v>10</v>
      </c>
      <c r="J5" s="147"/>
      <c r="K5" s="1" t="s">
        <v>36</v>
      </c>
      <c r="L5" s="1"/>
      <c r="M5" s="1"/>
      <c r="N5" s="15">
        <v>1.29</v>
      </c>
      <c r="O5" s="1" t="s">
        <v>40</v>
      </c>
      <c r="P5" s="6">
        <v>30</v>
      </c>
      <c r="Q5" s="7" t="s">
        <v>17</v>
      </c>
      <c r="R5" s="13">
        <f>$N$5+($T$5*($P$5-30))</f>
        <v>1.29</v>
      </c>
      <c r="S5" s="1" t="s">
        <v>11</v>
      </c>
      <c r="T5" s="8">
        <v>6.9999999999999999E-4</v>
      </c>
      <c r="U5" s="8" t="s">
        <v>35</v>
      </c>
      <c r="V5" s="4"/>
      <c r="W5" s="1"/>
    </row>
    <row r="6" spans="1:23">
      <c r="A6" s="1"/>
      <c r="B6" s="1" t="s">
        <v>12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1"/>
      <c r="O6" s="1"/>
      <c r="P6" s="14"/>
      <c r="Q6" s="7"/>
      <c r="R6" s="12"/>
      <c r="S6" s="1"/>
      <c r="T6" s="8"/>
      <c r="U6" s="8"/>
      <c r="V6" s="4"/>
      <c r="W6" s="1"/>
    </row>
    <row r="7" spans="1:2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4"/>
      <c r="W7" s="4" t="s">
        <v>1</v>
      </c>
    </row>
    <row r="8" spans="1:2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4">
        <v>2</v>
      </c>
    </row>
    <row r="9" spans="1:2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4">
        <v>6</v>
      </c>
    </row>
    <row r="10" spans="1:2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4">
        <v>12</v>
      </c>
    </row>
    <row r="11" spans="1:2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4">
        <v>24</v>
      </c>
    </row>
    <row r="12" spans="1:2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4" t="str">
        <f>CONCATENATE(B4,M4)</f>
        <v>Syre temperatur °C</v>
      </c>
    </row>
    <row r="13" spans="1:2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4" t="str">
        <f>CONCATENATE(B3,M3)</f>
        <v>Vægtfylde Kg/L</v>
      </c>
    </row>
    <row r="14" spans="1:2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>
      <c r="A31" s="1"/>
      <c r="B31" s="1"/>
      <c r="C31" s="1"/>
      <c r="D31" s="1"/>
      <c r="E31" s="1"/>
      <c r="F31" s="1"/>
      <c r="G31" s="1"/>
      <c r="H31" s="146" t="s">
        <v>21</v>
      </c>
      <c r="I31" s="146"/>
      <c r="J31" s="146"/>
      <c r="K31" s="146"/>
      <c r="L31" s="146"/>
      <c r="M31" s="146"/>
      <c r="N31" s="146"/>
      <c r="O31" s="146"/>
      <c r="P31" s="1"/>
      <c r="Q31" s="1"/>
      <c r="R31" s="1"/>
      <c r="S31" s="1"/>
      <c r="T31" s="1"/>
      <c r="U31" s="1"/>
      <c r="V31" s="1"/>
      <c r="W31" s="1"/>
    </row>
    <row r="32" spans="1:2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>
      <c r="A33" s="1"/>
      <c r="B33" s="1"/>
      <c r="C33" s="1"/>
      <c r="D33" s="1"/>
      <c r="E33" s="1"/>
      <c r="F33" s="1"/>
      <c r="G33" s="1"/>
      <c r="H33" s="141" t="s">
        <v>22</v>
      </c>
      <c r="I33" s="141"/>
      <c r="J33" s="141"/>
      <c r="K33" s="141"/>
      <c r="L33" s="141"/>
      <c r="M33" s="141"/>
      <c r="N33" s="141"/>
      <c r="O33" s="141"/>
      <c r="P33" s="1"/>
      <c r="Q33" s="1"/>
      <c r="R33" s="1"/>
      <c r="S33" s="1"/>
      <c r="T33" s="1"/>
      <c r="U33" s="1"/>
      <c r="V33" s="1"/>
      <c r="W33" s="1"/>
    </row>
    <row r="34" spans="1:23">
      <c r="A34" s="1"/>
      <c r="B34" s="1"/>
      <c r="C34" s="1"/>
      <c r="D34" s="1"/>
      <c r="E34" s="1"/>
      <c r="F34" s="1"/>
      <c r="G34" s="1"/>
      <c r="H34" s="1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>
      <c r="A35" s="1"/>
      <c r="B35" s="1"/>
      <c r="C35" s="1"/>
      <c r="D35" s="1"/>
      <c r="E35" s="1"/>
      <c r="F35" s="1"/>
      <c r="G35" s="1"/>
      <c r="H35" s="142"/>
      <c r="I35" s="142"/>
      <c r="J35" s="142"/>
      <c r="K35" s="142"/>
      <c r="L35" s="142"/>
      <c r="M35" s="142"/>
      <c r="N35" s="142"/>
      <c r="O35" s="142"/>
      <c r="P35" s="1"/>
      <c r="Q35" s="1"/>
      <c r="R35" s="1"/>
      <c r="S35" s="1"/>
      <c r="T35" s="1"/>
      <c r="U35" s="1"/>
      <c r="V35" s="1"/>
      <c r="W35" s="1"/>
    </row>
    <row r="36" spans="1:23">
      <c r="A36" s="1"/>
      <c r="B36" s="1"/>
      <c r="C36" s="1"/>
      <c r="D36" s="1"/>
      <c r="E36" s="1"/>
      <c r="F36" s="1"/>
      <c r="G36" s="1"/>
      <c r="H36" s="1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>
      <c r="A37" s="1"/>
      <c r="B37" s="1"/>
      <c r="C37" s="1"/>
      <c r="D37" s="1"/>
      <c r="E37" s="1"/>
      <c r="F37" s="1"/>
      <c r="G37" s="1"/>
      <c r="H37" s="143" t="s">
        <v>23</v>
      </c>
      <c r="I37" s="143"/>
      <c r="J37" s="143"/>
      <c r="K37" s="143"/>
      <c r="L37" s="143"/>
      <c r="M37" s="143"/>
      <c r="N37" s="143"/>
      <c r="O37" s="143"/>
      <c r="P37" s="1"/>
      <c r="Q37" s="1"/>
      <c r="R37" s="1"/>
      <c r="S37" s="1"/>
      <c r="T37" s="1"/>
      <c r="U37" s="1"/>
      <c r="V37" s="1"/>
      <c r="W37" s="1"/>
    </row>
    <row r="38" spans="1:23">
      <c r="A38" s="1"/>
      <c r="B38" s="1"/>
      <c r="C38" s="1"/>
      <c r="D38" s="1"/>
      <c r="E38" s="1"/>
      <c r="F38" s="1"/>
      <c r="G38" s="1"/>
      <c r="H38" s="10"/>
      <c r="I38" s="29"/>
      <c r="J38" s="29"/>
      <c r="K38" s="3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8.75">
      <c r="A39" s="1"/>
      <c r="B39" s="1"/>
      <c r="C39" s="1"/>
      <c r="D39" s="1"/>
      <c r="E39" s="1"/>
      <c r="F39" s="1"/>
      <c r="G39" s="1"/>
      <c r="H39" s="144" t="s">
        <v>24</v>
      </c>
      <c r="I39" s="144"/>
      <c r="J39" s="144"/>
      <c r="K39" s="144"/>
      <c r="L39" s="144"/>
      <c r="M39" s="144"/>
      <c r="N39" s="144"/>
      <c r="O39" s="144"/>
      <c r="P39" s="1"/>
      <c r="Q39" s="1"/>
      <c r="R39" s="1"/>
      <c r="S39" s="1"/>
      <c r="T39" s="1"/>
      <c r="U39" s="1"/>
      <c r="V39" s="1"/>
      <c r="W39" s="1"/>
    </row>
    <row r="40" spans="1:23">
      <c r="A40" s="1"/>
      <c r="B40" s="9" t="s">
        <v>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45" t="s">
        <v>89</v>
      </c>
      <c r="V40" s="145"/>
      <c r="W40" s="145"/>
    </row>
    <row r="43" spans="1:23">
      <c r="C43" s="42" t="s">
        <v>44</v>
      </c>
    </row>
    <row r="45" spans="1:23">
      <c r="C45" s="42" t="s">
        <v>45</v>
      </c>
    </row>
  </sheetData>
  <mergeCells count="11">
    <mergeCell ref="H31:O31"/>
    <mergeCell ref="I5:J5"/>
    <mergeCell ref="B1:S1"/>
    <mergeCell ref="B3:D3"/>
    <mergeCell ref="B4:D4"/>
    <mergeCell ref="R4:S4"/>
    <mergeCell ref="H33:O33"/>
    <mergeCell ref="H35:O35"/>
    <mergeCell ref="H37:O37"/>
    <mergeCell ref="H39:O39"/>
    <mergeCell ref="U40:W40"/>
  </mergeCells>
  <hyperlinks>
    <hyperlink ref="H37" r:id="rId1"/>
    <hyperlink ref="C43" r:id="rId2"/>
    <hyperlink ref="C45" r:id="rId3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X40"/>
  <sheetViews>
    <sheetView topLeftCell="A22" workbookViewId="0">
      <selection activeCell="H35" sqref="H35:O35"/>
    </sheetView>
  </sheetViews>
  <sheetFormatPr defaultColWidth="8.85546875" defaultRowHeight="15"/>
  <cols>
    <col min="1" max="1" width="1.7109375" style="2" customWidth="1"/>
    <col min="2" max="22" width="8.85546875" style="2"/>
    <col min="23" max="23" width="19.140625" style="2" bestFit="1" customWidth="1"/>
    <col min="24" max="16384" width="8.85546875" style="2"/>
  </cols>
  <sheetData>
    <row r="1" spans="1:24" ht="15.75">
      <c r="A1" s="1"/>
      <c r="B1" s="148" t="s">
        <v>46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"/>
      <c r="U1" s="1"/>
      <c r="V1" s="1"/>
      <c r="W1" s="1"/>
    </row>
    <row r="2" spans="1:24" ht="15.75">
      <c r="A2" s="39"/>
      <c r="B2" s="1" t="s">
        <v>49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7"/>
      <c r="O2" s="39"/>
      <c r="P2" s="39"/>
      <c r="Q2" s="39"/>
      <c r="R2" s="35"/>
      <c r="S2" s="39"/>
      <c r="T2" s="1"/>
      <c r="U2" s="1"/>
      <c r="V2" s="1"/>
      <c r="W2" s="1"/>
    </row>
    <row r="3" spans="1:24" ht="15.75">
      <c r="A3" s="49"/>
      <c r="B3" s="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17"/>
      <c r="O3" s="49"/>
      <c r="P3" s="49"/>
      <c r="Q3" s="49"/>
      <c r="R3" s="35"/>
      <c r="S3" s="49"/>
      <c r="T3" s="1"/>
      <c r="U3" s="1"/>
      <c r="V3" s="1"/>
      <c r="W3" s="1"/>
    </row>
    <row r="4" spans="1:24">
      <c r="A4" s="40"/>
      <c r="B4" s="149" t="s">
        <v>48</v>
      </c>
      <c r="C4" s="149"/>
      <c r="D4" s="149"/>
      <c r="E4" s="43">
        <v>0.35</v>
      </c>
      <c r="F4" s="44">
        <v>0.5</v>
      </c>
      <c r="G4" s="43">
        <v>0.7</v>
      </c>
      <c r="H4" s="43">
        <v>0.8</v>
      </c>
      <c r="I4" s="43">
        <v>0.9</v>
      </c>
      <c r="J4" s="44">
        <v>0.95</v>
      </c>
      <c r="K4" s="44">
        <v>1</v>
      </c>
      <c r="L4" s="24" t="s">
        <v>47</v>
      </c>
      <c r="M4" s="1"/>
      <c r="N4" s="5"/>
      <c r="O4" s="5"/>
      <c r="P4" s="5"/>
      <c r="Q4" s="1"/>
      <c r="R4" s="147"/>
      <c r="S4" s="147"/>
      <c r="T4" s="1"/>
      <c r="U4" s="1"/>
      <c r="V4" s="4"/>
      <c r="W4" s="1"/>
    </row>
    <row r="5" spans="1:24">
      <c r="A5" s="40"/>
      <c r="B5" s="149" t="s">
        <v>19</v>
      </c>
      <c r="C5" s="149"/>
      <c r="D5" s="149"/>
      <c r="E5" s="25">
        <v>-30</v>
      </c>
      <c r="F5" s="26">
        <v>-20</v>
      </c>
      <c r="G5" s="25">
        <v>-10</v>
      </c>
      <c r="H5" s="25">
        <v>0</v>
      </c>
      <c r="I5" s="25">
        <v>10</v>
      </c>
      <c r="J5" s="26">
        <v>20</v>
      </c>
      <c r="K5" s="26">
        <v>30</v>
      </c>
      <c r="L5" s="27" t="s">
        <v>4</v>
      </c>
      <c r="M5" s="1"/>
      <c r="N5" s="45"/>
      <c r="O5" s="41"/>
      <c r="P5" s="38"/>
      <c r="Q5" s="16"/>
      <c r="R5" s="147"/>
      <c r="S5" s="147"/>
      <c r="T5" s="37"/>
      <c r="U5" s="36"/>
      <c r="V5" s="4"/>
      <c r="W5" s="1"/>
    </row>
    <row r="6" spans="1:24">
      <c r="A6" s="1"/>
      <c r="B6" s="1"/>
      <c r="C6" s="1"/>
      <c r="D6" s="1"/>
      <c r="E6" s="1"/>
      <c r="F6" s="1"/>
      <c r="G6" s="1"/>
      <c r="H6" s="1"/>
      <c r="I6" s="48"/>
      <c r="J6" s="48"/>
      <c r="K6" s="1"/>
      <c r="L6" s="1"/>
      <c r="M6" s="1"/>
      <c r="N6" s="46"/>
      <c r="O6" s="1"/>
      <c r="P6" s="14"/>
      <c r="Q6" s="7"/>
      <c r="R6" s="13"/>
      <c r="S6" s="1"/>
      <c r="T6" s="8"/>
      <c r="U6" s="8"/>
      <c r="V6" s="4"/>
      <c r="W6" s="1"/>
    </row>
    <row r="7" spans="1:2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4"/>
      <c r="W7" s="8"/>
      <c r="X7" s="47"/>
    </row>
    <row r="8" spans="1:2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8"/>
      <c r="X8" s="47"/>
    </row>
    <row r="9" spans="1:2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8"/>
      <c r="X9" s="47"/>
    </row>
    <row r="10" spans="1:2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8"/>
      <c r="X10" s="47"/>
    </row>
    <row r="11" spans="1:2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8"/>
      <c r="X11" s="47"/>
    </row>
    <row r="12" spans="1:2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8" t="str">
        <f>CONCATENATE(B5,L5)</f>
        <v>Syre temperatur °C</v>
      </c>
      <c r="X12" s="47"/>
    </row>
    <row r="13" spans="1:2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8" t="str">
        <f>CONCATENATE(B4,L4)</f>
        <v>Batteriets kapacitet %</v>
      </c>
      <c r="X13" s="47"/>
    </row>
    <row r="14" spans="1:2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8"/>
      <c r="X14" s="47"/>
    </row>
    <row r="15" spans="1:2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8"/>
      <c r="X15" s="47"/>
    </row>
    <row r="16" spans="1:2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8"/>
      <c r="X16" s="47"/>
    </row>
    <row r="17" spans="1:2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>
      <c r="A31" s="1"/>
      <c r="B31" s="1"/>
      <c r="C31" s="1"/>
      <c r="D31" s="1"/>
      <c r="E31" s="1"/>
      <c r="F31" s="1"/>
      <c r="G31" s="1"/>
      <c r="H31" s="150" t="s">
        <v>21</v>
      </c>
      <c r="I31" s="150"/>
      <c r="J31" s="150"/>
      <c r="K31" s="150"/>
      <c r="L31" s="150"/>
      <c r="M31" s="150"/>
      <c r="N31" s="150"/>
      <c r="O31" s="150"/>
      <c r="P31" s="1"/>
      <c r="Q31" s="1"/>
      <c r="R31" s="1"/>
      <c r="S31" s="1"/>
      <c r="T31" s="1"/>
      <c r="U31" s="1"/>
      <c r="V31" s="1"/>
      <c r="W31" s="1"/>
    </row>
    <row r="32" spans="1:2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>
      <c r="A33" s="1"/>
      <c r="B33" s="1"/>
      <c r="C33" s="1"/>
      <c r="D33" s="1"/>
      <c r="E33" s="1"/>
      <c r="F33" s="1"/>
      <c r="G33" s="1"/>
      <c r="H33" s="141" t="s">
        <v>22</v>
      </c>
      <c r="I33" s="141"/>
      <c r="J33" s="141"/>
      <c r="K33" s="141"/>
      <c r="L33" s="141"/>
      <c r="M33" s="141"/>
      <c r="N33" s="141"/>
      <c r="O33" s="141"/>
      <c r="P33" s="1"/>
      <c r="Q33" s="1"/>
      <c r="R33" s="1"/>
      <c r="S33" s="1"/>
      <c r="T33" s="1"/>
      <c r="U33" s="1"/>
      <c r="V33" s="1"/>
      <c r="W33" s="1"/>
    </row>
    <row r="34" spans="1:2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>
      <c r="A35" s="1"/>
      <c r="B35" s="1"/>
      <c r="C35" s="1"/>
      <c r="D35" s="1"/>
      <c r="E35" s="1"/>
      <c r="F35" s="1"/>
      <c r="G35" s="1"/>
      <c r="H35" s="142"/>
      <c r="I35" s="142"/>
      <c r="J35" s="142"/>
      <c r="K35" s="142"/>
      <c r="L35" s="142"/>
      <c r="M35" s="142"/>
      <c r="N35" s="142"/>
      <c r="O35" s="142"/>
      <c r="P35" s="1"/>
      <c r="Q35" s="1"/>
      <c r="R35" s="1"/>
      <c r="S35" s="1"/>
      <c r="T35" s="1"/>
      <c r="U35" s="1"/>
      <c r="V35" s="1"/>
      <c r="W35" s="1"/>
    </row>
    <row r="36" spans="1:2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>
      <c r="A37" s="1"/>
      <c r="B37" s="1"/>
      <c r="C37" s="1"/>
      <c r="D37" s="1"/>
      <c r="E37" s="1"/>
      <c r="F37" s="1"/>
      <c r="G37" s="1"/>
      <c r="H37" s="143" t="s">
        <v>23</v>
      </c>
      <c r="I37" s="143"/>
      <c r="J37" s="143"/>
      <c r="K37" s="143"/>
      <c r="L37" s="143"/>
      <c r="M37" s="143"/>
      <c r="N37" s="143"/>
      <c r="O37" s="143"/>
      <c r="P37" s="1"/>
      <c r="Q37" s="1"/>
      <c r="R37" s="1"/>
      <c r="S37" s="1"/>
      <c r="T37" s="1"/>
      <c r="U37" s="1"/>
      <c r="V37" s="1"/>
      <c r="W37" s="1"/>
    </row>
    <row r="38" spans="1:23">
      <c r="A38" s="1"/>
      <c r="B38" s="1"/>
      <c r="C38" s="1"/>
      <c r="D38" s="1"/>
      <c r="E38" s="1"/>
      <c r="F38" s="1"/>
      <c r="G38" s="1"/>
      <c r="H38" s="1"/>
      <c r="I38" s="29"/>
      <c r="J38" s="29"/>
      <c r="K38" s="3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8.75">
      <c r="A39" s="1"/>
      <c r="B39" s="1"/>
      <c r="C39" s="1"/>
      <c r="D39" s="1"/>
      <c r="E39" s="1"/>
      <c r="F39" s="1"/>
      <c r="G39" s="1"/>
      <c r="H39" s="144" t="s">
        <v>24</v>
      </c>
      <c r="I39" s="144"/>
      <c r="J39" s="144"/>
      <c r="K39" s="144"/>
      <c r="L39" s="144"/>
      <c r="M39" s="144"/>
      <c r="N39" s="144"/>
      <c r="O39" s="144"/>
      <c r="P39" s="1"/>
      <c r="Q39" s="1"/>
      <c r="R39" s="1"/>
      <c r="S39" s="1"/>
      <c r="T39" s="1"/>
      <c r="U39" s="1"/>
      <c r="V39" s="1"/>
      <c r="W39" s="1"/>
    </row>
    <row r="40" spans="1:23">
      <c r="A40" s="4"/>
      <c r="B40" s="9" t="s">
        <v>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45" t="s">
        <v>89</v>
      </c>
      <c r="V40" s="145"/>
      <c r="W40" s="145"/>
    </row>
  </sheetData>
  <mergeCells count="11">
    <mergeCell ref="B1:S1"/>
    <mergeCell ref="B4:D4"/>
    <mergeCell ref="B5:D5"/>
    <mergeCell ref="R5:S5"/>
    <mergeCell ref="U40:W40"/>
    <mergeCell ref="H31:O31"/>
    <mergeCell ref="H33:O33"/>
    <mergeCell ref="H35:O35"/>
    <mergeCell ref="H37:O37"/>
    <mergeCell ref="H39:O39"/>
    <mergeCell ref="R4:S4"/>
  </mergeCells>
  <hyperlinks>
    <hyperlink ref="H37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:W40"/>
  <sheetViews>
    <sheetView topLeftCell="A10" workbookViewId="0">
      <selection activeCell="H35" sqref="H35:O35"/>
    </sheetView>
  </sheetViews>
  <sheetFormatPr defaultColWidth="8.85546875" defaultRowHeight="15"/>
  <cols>
    <col min="1" max="1" width="1.7109375" style="2" customWidth="1"/>
    <col min="2" max="2" width="8.85546875" style="2" customWidth="1"/>
    <col min="3" max="3" width="8.85546875" style="2"/>
    <col min="4" max="21" width="8.85546875" style="2" customWidth="1"/>
    <col min="22" max="22" width="8.7109375" style="2" customWidth="1"/>
    <col min="23" max="23" width="16.42578125" style="2" bestFit="1" customWidth="1"/>
    <col min="24" max="16384" width="8.85546875" style="2"/>
  </cols>
  <sheetData>
    <row r="1" spans="1:23" ht="15.75">
      <c r="A1" s="1"/>
      <c r="B1" s="148" t="s">
        <v>25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"/>
      <c r="U1" s="1"/>
      <c r="V1" s="1"/>
      <c r="W1" s="1"/>
    </row>
    <row r="2" spans="1:23" ht="15.75">
      <c r="A2" s="1"/>
      <c r="B2" s="16" t="s">
        <v>30</v>
      </c>
      <c r="C2" s="16"/>
      <c r="D2" s="16"/>
      <c r="E2" s="1"/>
      <c r="F2" s="1"/>
      <c r="G2" s="6">
        <v>2</v>
      </c>
      <c r="H2" s="3" t="s">
        <v>0</v>
      </c>
      <c r="I2" s="3">
        <f>IF($G$2=6,3,IF($G$2=12,6,IF($G$2=24,12,1)))</f>
        <v>1</v>
      </c>
      <c r="J2" s="1" t="s">
        <v>15</v>
      </c>
      <c r="K2" s="1"/>
      <c r="L2" s="1"/>
      <c r="M2" s="1"/>
      <c r="N2" s="17" t="str">
        <f>CONCATENATE(B3," ",N5,O5,"ved ",B4," ",P5,Q5)</f>
        <v>Ladespænding per celle 2,4 Volt ved Syre temperatur  30 °C</v>
      </c>
      <c r="O2" s="1"/>
      <c r="P2" s="1"/>
      <c r="Q2" s="17"/>
      <c r="R2" s="17"/>
      <c r="S2" s="17"/>
      <c r="T2" s="17"/>
      <c r="U2" s="17"/>
      <c r="V2" s="17"/>
      <c r="W2" s="17"/>
    </row>
    <row r="3" spans="1:23">
      <c r="A3" s="1"/>
      <c r="B3" s="16" t="str">
        <f>+N3</f>
        <v>Ladespænding per celle</v>
      </c>
      <c r="C3" s="16"/>
      <c r="D3" s="1"/>
      <c r="E3" s="22">
        <f>$I$2*2.64</f>
        <v>2.64</v>
      </c>
      <c r="F3" s="23">
        <f>$I$2*2.6</f>
        <v>2.6</v>
      </c>
      <c r="G3" s="22">
        <f>$I$2*2.56</f>
        <v>2.56</v>
      </c>
      <c r="H3" s="22">
        <f>$I$2*2.52</f>
        <v>2.52</v>
      </c>
      <c r="I3" s="22">
        <f>$I$2*2.48</f>
        <v>2.48</v>
      </c>
      <c r="J3" s="22">
        <f>$I$2*2.44</f>
        <v>2.44</v>
      </c>
      <c r="K3" s="23">
        <f>$I$2*2.4</f>
        <v>2.4</v>
      </c>
      <c r="L3" s="22">
        <f>$I$2*2.36</f>
        <v>2.36</v>
      </c>
      <c r="M3" s="24" t="s">
        <v>18</v>
      </c>
      <c r="N3" s="28" t="str">
        <f>IF($G$2=2,"Ladespænding per celle",IF($G$2=6,"Ladespænding for 6 V batteri",IF($G$2=12,"Ladespænding for 12 V batteri",IF($G$2=24,"Ladespænding for 24 V batteri",""))))</f>
        <v>Ladespænding per celle</v>
      </c>
      <c r="O3" s="5"/>
      <c r="P3" s="5"/>
      <c r="Q3" s="1"/>
      <c r="R3" s="1"/>
      <c r="S3" s="1"/>
      <c r="T3" s="1"/>
      <c r="U3" s="1"/>
      <c r="V3" s="1"/>
      <c r="W3" s="1"/>
    </row>
    <row r="4" spans="1:23">
      <c r="A4" s="1"/>
      <c r="B4" s="16" t="s">
        <v>19</v>
      </c>
      <c r="C4" s="16"/>
      <c r="D4" s="1"/>
      <c r="E4" s="25">
        <v>-30</v>
      </c>
      <c r="F4" s="26">
        <v>-20</v>
      </c>
      <c r="G4" s="25">
        <v>-10</v>
      </c>
      <c r="H4" s="25">
        <v>0</v>
      </c>
      <c r="I4" s="25">
        <v>10</v>
      </c>
      <c r="J4" s="25">
        <v>20</v>
      </c>
      <c r="K4" s="26">
        <v>30</v>
      </c>
      <c r="L4" s="25">
        <v>40</v>
      </c>
      <c r="M4" s="27" t="s">
        <v>4</v>
      </c>
      <c r="N4" s="151" t="s">
        <v>50</v>
      </c>
      <c r="O4" s="151"/>
      <c r="P4" s="149" t="s">
        <v>5</v>
      </c>
      <c r="Q4" s="149"/>
      <c r="R4" s="147" t="s">
        <v>6</v>
      </c>
      <c r="S4" s="147"/>
      <c r="T4" s="37" t="s">
        <v>42</v>
      </c>
      <c r="U4" s="36"/>
      <c r="V4" s="1"/>
      <c r="W4" s="36"/>
    </row>
    <row r="5" spans="1:23">
      <c r="A5" s="1"/>
      <c r="B5" s="1" t="s">
        <v>3</v>
      </c>
      <c r="C5" s="1"/>
      <c r="D5" s="1"/>
      <c r="E5" s="1"/>
      <c r="F5" s="1"/>
      <c r="G5" s="1"/>
      <c r="H5" s="1"/>
      <c r="I5" s="147" t="s">
        <v>20</v>
      </c>
      <c r="J5" s="147"/>
      <c r="K5" s="1" t="s">
        <v>43</v>
      </c>
      <c r="L5" s="1"/>
      <c r="M5" s="1"/>
      <c r="N5" s="1">
        <f>($R$5+($T$5*(30-$P$5)))*$I$2</f>
        <v>2.4</v>
      </c>
      <c r="O5" s="1" t="s">
        <v>16</v>
      </c>
      <c r="P5" s="6">
        <v>30</v>
      </c>
      <c r="Q5" s="7" t="s">
        <v>17</v>
      </c>
      <c r="R5" s="7">
        <v>2.4</v>
      </c>
      <c r="S5" s="1" t="s">
        <v>0</v>
      </c>
      <c r="T5" s="8">
        <v>4.0000000000000001E-3</v>
      </c>
      <c r="U5" s="8" t="s">
        <v>8</v>
      </c>
      <c r="V5" s="1"/>
      <c r="W5" s="1"/>
    </row>
    <row r="6" spans="1:2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8"/>
      <c r="U6" s="8"/>
      <c r="V6" s="8"/>
      <c r="W6" s="4" t="s">
        <v>1</v>
      </c>
    </row>
    <row r="7" spans="1:2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4">
        <v>2</v>
      </c>
    </row>
    <row r="8" spans="1:2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4">
        <v>6</v>
      </c>
    </row>
    <row r="9" spans="1:2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4">
        <v>12</v>
      </c>
    </row>
    <row r="10" spans="1:2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4">
        <v>24</v>
      </c>
    </row>
    <row r="11" spans="1:2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4" t="str">
        <f>CONCATENATE(B4,M4)</f>
        <v>Syre temperatur °C</v>
      </c>
    </row>
    <row r="12" spans="1:2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>
      <c r="A31" s="1"/>
      <c r="B31" s="1"/>
      <c r="C31" s="1"/>
      <c r="D31" s="1"/>
      <c r="E31" s="1"/>
      <c r="F31" s="1"/>
      <c r="G31" s="1"/>
      <c r="H31" s="146" t="s">
        <v>21</v>
      </c>
      <c r="I31" s="146"/>
      <c r="J31" s="146"/>
      <c r="K31" s="146"/>
      <c r="L31" s="146"/>
      <c r="M31" s="146"/>
      <c r="N31" s="146"/>
      <c r="O31" s="146"/>
      <c r="P31" s="1"/>
      <c r="Q31" s="1"/>
      <c r="R31" s="1"/>
      <c r="S31" s="1"/>
      <c r="T31" s="1"/>
      <c r="U31" s="1"/>
      <c r="V31" s="1"/>
      <c r="W31" s="1"/>
    </row>
    <row r="32" spans="1:2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>
      <c r="A33" s="1"/>
      <c r="B33" s="1"/>
      <c r="C33" s="1"/>
      <c r="D33" s="1"/>
      <c r="E33" s="1"/>
      <c r="F33" s="1"/>
      <c r="G33" s="1"/>
      <c r="H33" s="141" t="s">
        <v>22</v>
      </c>
      <c r="I33" s="141"/>
      <c r="J33" s="141"/>
      <c r="K33" s="141"/>
      <c r="L33" s="141"/>
      <c r="M33" s="141"/>
      <c r="N33" s="141"/>
      <c r="O33" s="141"/>
      <c r="P33" s="1"/>
      <c r="Q33" s="1"/>
      <c r="R33" s="1"/>
      <c r="S33" s="1"/>
      <c r="T33" s="1"/>
      <c r="U33" s="1"/>
      <c r="V33" s="1"/>
      <c r="W33" s="1"/>
    </row>
    <row r="34" spans="1:23">
      <c r="A34" s="1"/>
      <c r="B34" s="1"/>
      <c r="C34" s="1"/>
      <c r="D34" s="1"/>
      <c r="E34" s="1"/>
      <c r="F34" s="1"/>
      <c r="G34" s="1"/>
      <c r="H34" s="1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>
      <c r="A35" s="1"/>
      <c r="B35" s="1"/>
      <c r="C35" s="1"/>
      <c r="D35" s="1"/>
      <c r="E35" s="1"/>
      <c r="F35" s="1"/>
      <c r="G35" s="1"/>
      <c r="H35" s="142"/>
      <c r="I35" s="142"/>
      <c r="J35" s="142"/>
      <c r="K35" s="142"/>
      <c r="L35" s="142"/>
      <c r="M35" s="142"/>
      <c r="N35" s="142"/>
      <c r="O35" s="142"/>
      <c r="P35" s="1"/>
      <c r="Q35" s="1"/>
      <c r="R35" s="1"/>
      <c r="S35" s="1"/>
      <c r="T35" s="1"/>
      <c r="U35" s="1"/>
      <c r="V35" s="1"/>
      <c r="W35" s="1"/>
    </row>
    <row r="36" spans="1:23">
      <c r="A36" s="1"/>
      <c r="B36" s="1"/>
      <c r="C36" s="1"/>
      <c r="D36" s="1"/>
      <c r="E36" s="1"/>
      <c r="F36" s="1"/>
      <c r="G36" s="1"/>
      <c r="H36" s="1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>
      <c r="A37" s="1"/>
      <c r="B37" s="1"/>
      <c r="C37" s="1"/>
      <c r="D37" s="1"/>
      <c r="E37" s="1"/>
      <c r="F37" s="1"/>
      <c r="G37" s="1"/>
      <c r="H37" s="143" t="s">
        <v>23</v>
      </c>
      <c r="I37" s="143"/>
      <c r="J37" s="143"/>
      <c r="K37" s="143"/>
      <c r="L37" s="143"/>
      <c r="M37" s="143"/>
      <c r="N37" s="143"/>
      <c r="O37" s="143"/>
      <c r="P37" s="1"/>
      <c r="Q37" s="1"/>
      <c r="R37" s="1"/>
      <c r="S37" s="1"/>
      <c r="T37" s="1"/>
      <c r="U37" s="1"/>
      <c r="V37" s="1"/>
      <c r="W37" s="1"/>
    </row>
    <row r="38" spans="1:23">
      <c r="A38" s="1"/>
      <c r="B38" s="1"/>
      <c r="C38" s="1"/>
      <c r="D38" s="1"/>
      <c r="E38" s="1"/>
      <c r="F38" s="1"/>
      <c r="G38" s="1"/>
      <c r="H38" s="10"/>
      <c r="I38" s="29"/>
      <c r="J38" s="29"/>
      <c r="K38" s="3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8.75">
      <c r="A39" s="1"/>
      <c r="B39" s="1"/>
      <c r="C39" s="1"/>
      <c r="D39" s="1"/>
      <c r="E39" s="1"/>
      <c r="F39" s="1"/>
      <c r="G39" s="1"/>
      <c r="H39" s="144" t="s">
        <v>24</v>
      </c>
      <c r="I39" s="144"/>
      <c r="J39" s="144"/>
      <c r="K39" s="144"/>
      <c r="L39" s="144"/>
      <c r="M39" s="144"/>
      <c r="N39" s="144"/>
      <c r="O39" s="144"/>
      <c r="P39" s="1"/>
      <c r="Q39" s="1"/>
      <c r="R39" s="1"/>
      <c r="S39" s="1"/>
      <c r="T39" s="1"/>
      <c r="U39" s="1"/>
      <c r="V39" s="1"/>
      <c r="W39" s="1"/>
    </row>
    <row r="40" spans="1:23">
      <c r="A40" s="1"/>
      <c r="B40" s="9" t="s">
        <v>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45" t="s">
        <v>89</v>
      </c>
      <c r="V40" s="145"/>
      <c r="W40" s="145"/>
    </row>
  </sheetData>
  <mergeCells count="11">
    <mergeCell ref="B1:S1"/>
    <mergeCell ref="N4:O4"/>
    <mergeCell ref="R4:S4"/>
    <mergeCell ref="U40:W40"/>
    <mergeCell ref="I5:J5"/>
    <mergeCell ref="P4:Q4"/>
    <mergeCell ref="H31:O31"/>
    <mergeCell ref="H33:O33"/>
    <mergeCell ref="H35:O35"/>
    <mergeCell ref="H37:O37"/>
    <mergeCell ref="H39:O39"/>
  </mergeCells>
  <dataValidations count="1">
    <dataValidation type="list" allowBlank="1" showInputMessage="1" showErrorMessage="1" errorTitle="Celle eller Batteri type" error="Vælg 2, 6, 12 eller 24" promptTitle="Celle eller Batteri type" prompt="Vælg celle eller batteri" sqref="G2">
      <formula1>$W$7:$W$10</formula1>
    </dataValidation>
  </dataValidations>
  <hyperlinks>
    <hyperlink ref="H37" r:id="rId1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4"/>
  <dimension ref="A1:W40"/>
  <sheetViews>
    <sheetView workbookViewId="0"/>
  </sheetViews>
  <sheetFormatPr defaultRowHeight="15"/>
  <cols>
    <col min="1" max="1" width="1.7109375" customWidth="1"/>
    <col min="2" max="2" width="8.85546875" customWidth="1"/>
    <col min="4" max="21" width="8.85546875" customWidth="1"/>
    <col min="22" max="22" width="8.7109375" customWidth="1"/>
    <col min="23" max="23" width="16.42578125" bestFit="1" customWidth="1"/>
  </cols>
  <sheetData>
    <row r="1" spans="1:23" ht="15.75">
      <c r="A1" s="1"/>
      <c r="B1" s="148" t="s">
        <v>32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"/>
      <c r="U1" s="1"/>
      <c r="V1" s="1"/>
      <c r="W1" s="10"/>
    </row>
    <row r="2" spans="1:23" ht="15.75">
      <c r="A2" s="1"/>
      <c r="B2" s="16" t="s">
        <v>29</v>
      </c>
      <c r="C2" s="16"/>
      <c r="D2" s="16"/>
      <c r="E2" s="10"/>
      <c r="F2" s="10"/>
      <c r="G2" s="6">
        <v>2</v>
      </c>
      <c r="H2" s="3" t="s">
        <v>0</v>
      </c>
      <c r="I2" s="3">
        <f>IF(G2=6,3,IF(G2=12,6,IF(G2=24,12,1)))</f>
        <v>1</v>
      </c>
      <c r="J2" s="1" t="s">
        <v>2</v>
      </c>
      <c r="K2" s="1"/>
      <c r="L2" s="10"/>
      <c r="M2" s="1"/>
      <c r="N2" s="17" t="str">
        <f>CONCATENATE(B3," ",N5,O5,"ved ",B4," ",P5,Q5)</f>
        <v>Cellespænding 2,13 Volt ved Syre temperatur  30 °C</v>
      </c>
      <c r="O2" s="1"/>
      <c r="P2" s="1"/>
      <c r="Q2" s="1"/>
      <c r="R2" s="1"/>
      <c r="S2" s="1"/>
      <c r="T2" s="4"/>
      <c r="U2" s="1"/>
      <c r="V2" s="4"/>
      <c r="W2" s="10"/>
    </row>
    <row r="3" spans="1:23">
      <c r="A3" s="1"/>
      <c r="B3" s="16" t="str">
        <f>+N3</f>
        <v>Cellespænding</v>
      </c>
      <c r="C3" s="16"/>
      <c r="D3" s="16"/>
      <c r="E3" s="31">
        <f>$I$2*2.172</f>
        <v>2.1720000000000002</v>
      </c>
      <c r="F3" s="32">
        <f>$I$2*2.165</f>
        <v>2.165</v>
      </c>
      <c r="G3" s="31">
        <f>$I$2*2.158</f>
        <v>2.1579999999999999</v>
      </c>
      <c r="H3" s="31">
        <f>$I$2*2.151</f>
        <v>2.1509999999999998</v>
      </c>
      <c r="I3" s="31">
        <f>$I$2*2.144</f>
        <v>2.1440000000000001</v>
      </c>
      <c r="J3" s="31">
        <f>$I$2*2.137</f>
        <v>2.137</v>
      </c>
      <c r="K3" s="32">
        <f>$I$2*2.13</f>
        <v>2.13</v>
      </c>
      <c r="L3" s="31">
        <f>$I$2*2.123</f>
        <v>2.1230000000000002</v>
      </c>
      <c r="M3" s="24" t="s">
        <v>18</v>
      </c>
      <c r="N3" s="33" t="str">
        <f>IF($G$2=2,"Cellespænding",IF($G$2=6,"Cellespænding for 6 V batteri",IF($G$2=12,"Cellespænding for 12 V batteri",IF($G$2=24,"Cellespænding for 24 V batteri",""))))</f>
        <v>Cellespænding</v>
      </c>
      <c r="O3" s="5"/>
      <c r="P3" s="5"/>
      <c r="Q3" s="1"/>
      <c r="R3" s="1"/>
      <c r="S3" s="1"/>
      <c r="T3" s="1"/>
      <c r="U3" s="1"/>
      <c r="V3" s="4"/>
      <c r="W3" s="10"/>
    </row>
    <row r="4" spans="1:23">
      <c r="A4" s="1"/>
      <c r="B4" s="16" t="s">
        <v>19</v>
      </c>
      <c r="C4" s="16"/>
      <c r="D4" s="16"/>
      <c r="E4" s="25">
        <v>-30</v>
      </c>
      <c r="F4" s="26">
        <v>-20</v>
      </c>
      <c r="G4" s="25">
        <v>-10</v>
      </c>
      <c r="H4" s="25">
        <v>0</v>
      </c>
      <c r="I4" s="25">
        <v>10</v>
      </c>
      <c r="J4" s="25">
        <v>20</v>
      </c>
      <c r="K4" s="26">
        <v>30</v>
      </c>
      <c r="L4" s="25">
        <v>40</v>
      </c>
      <c r="M4" s="27" t="s">
        <v>4</v>
      </c>
      <c r="N4" s="151" t="s">
        <v>28</v>
      </c>
      <c r="O4" s="151"/>
      <c r="P4" s="149" t="s">
        <v>5</v>
      </c>
      <c r="Q4" s="149"/>
      <c r="R4" s="21" t="str">
        <f>+N3</f>
        <v>Cellespænding</v>
      </c>
      <c r="S4" s="16"/>
      <c r="T4" s="37" t="s">
        <v>14</v>
      </c>
      <c r="U4" s="36"/>
      <c r="V4" s="10"/>
      <c r="W4" s="36"/>
    </row>
    <row r="5" spans="1:23">
      <c r="A5" s="1"/>
      <c r="B5" s="1" t="s">
        <v>26</v>
      </c>
      <c r="C5" s="1"/>
      <c r="D5" s="1"/>
      <c r="E5" s="1"/>
      <c r="F5" s="1"/>
      <c r="G5" s="1"/>
      <c r="H5" s="1"/>
      <c r="I5" s="147" t="s">
        <v>31</v>
      </c>
      <c r="J5" s="147"/>
      <c r="K5" s="1" t="s">
        <v>27</v>
      </c>
      <c r="L5" s="1"/>
      <c r="M5" s="1"/>
      <c r="N5" s="1">
        <f>($R$5+($T$5*(30-$P$5)))*$I$2</f>
        <v>2.13</v>
      </c>
      <c r="O5" s="1" t="s">
        <v>16</v>
      </c>
      <c r="P5" s="6">
        <v>30</v>
      </c>
      <c r="Q5" s="7" t="s">
        <v>17</v>
      </c>
      <c r="R5" s="7">
        <v>2.13</v>
      </c>
      <c r="S5" s="1" t="s">
        <v>0</v>
      </c>
      <c r="T5" s="8">
        <v>6.9999999999999999E-4</v>
      </c>
      <c r="U5" s="8" t="s">
        <v>8</v>
      </c>
      <c r="V5" s="10"/>
      <c r="W5" s="10"/>
    </row>
    <row r="6" spans="1:2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8"/>
      <c r="U6" s="8"/>
      <c r="V6" s="4"/>
      <c r="W6" s="4" t="s">
        <v>1</v>
      </c>
    </row>
    <row r="7" spans="1:2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4">
        <v>2</v>
      </c>
    </row>
    <row r="8" spans="1:2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4">
        <v>6</v>
      </c>
    </row>
    <row r="9" spans="1:2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4">
        <v>12</v>
      </c>
    </row>
    <row r="10" spans="1:2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4">
        <v>24</v>
      </c>
    </row>
    <row r="11" spans="1:2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4" t="str">
        <f>CONCATENATE(B4,M4)</f>
        <v>Syre temperatur °C</v>
      </c>
    </row>
    <row r="12" spans="1:2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0"/>
    </row>
    <row r="13" spans="1:2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0"/>
    </row>
    <row r="14" spans="1:2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0"/>
    </row>
    <row r="15" spans="1:2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0"/>
    </row>
    <row r="16" spans="1:2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0"/>
    </row>
    <row r="17" spans="1:2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0"/>
    </row>
    <row r="18" spans="1:2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0"/>
    </row>
    <row r="19" spans="1:2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0"/>
    </row>
    <row r="20" spans="1:2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0"/>
    </row>
    <row r="21" spans="1:2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0"/>
    </row>
    <row r="22" spans="1:2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0"/>
    </row>
    <row r="23" spans="1: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0"/>
    </row>
    <row r="24" spans="1:2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0"/>
    </row>
    <row r="25" spans="1:2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0"/>
    </row>
    <row r="26" spans="1:2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0"/>
    </row>
    <row r="27" spans="1:2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0"/>
    </row>
    <row r="28" spans="1:2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0"/>
    </row>
    <row r="29" spans="1:2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0"/>
    </row>
    <row r="30" spans="1:2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0"/>
    </row>
    <row r="31" spans="1:23">
      <c r="A31" s="1"/>
      <c r="B31" s="1"/>
      <c r="C31" s="1"/>
      <c r="D31" s="1"/>
      <c r="E31" s="1"/>
      <c r="F31" s="1"/>
      <c r="G31" s="1"/>
      <c r="H31" s="146" t="s">
        <v>21</v>
      </c>
      <c r="I31" s="146"/>
      <c r="J31" s="146"/>
      <c r="K31" s="146"/>
      <c r="L31" s="146"/>
      <c r="M31" s="146"/>
      <c r="N31" s="146"/>
      <c r="O31" s="146"/>
      <c r="P31" s="1"/>
      <c r="Q31" s="1"/>
      <c r="R31" s="1"/>
      <c r="S31" s="1"/>
      <c r="T31" s="1"/>
      <c r="U31" s="1"/>
      <c r="V31" s="1"/>
      <c r="W31" s="1"/>
    </row>
    <row r="32" spans="1:2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>
      <c r="A33" s="1"/>
      <c r="B33" s="1"/>
      <c r="C33" s="1"/>
      <c r="D33" s="1"/>
      <c r="E33" s="1"/>
      <c r="F33" s="1"/>
      <c r="G33" s="1"/>
      <c r="H33" s="141" t="s">
        <v>22</v>
      </c>
      <c r="I33" s="141"/>
      <c r="J33" s="141"/>
      <c r="K33" s="141"/>
      <c r="L33" s="141"/>
      <c r="M33" s="141"/>
      <c r="N33" s="141"/>
      <c r="O33" s="141"/>
      <c r="P33" s="1"/>
      <c r="Q33" s="1"/>
      <c r="R33" s="1"/>
      <c r="S33" s="1"/>
      <c r="T33" s="1"/>
      <c r="U33" s="1"/>
      <c r="V33" s="1"/>
      <c r="W33" s="1"/>
    </row>
    <row r="34" spans="1:23">
      <c r="A34" s="1"/>
      <c r="B34" s="1"/>
      <c r="C34" s="1"/>
      <c r="D34" s="1"/>
      <c r="E34" s="1"/>
      <c r="F34" s="1"/>
      <c r="G34" s="1"/>
      <c r="H34" s="1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>
      <c r="A35" s="1"/>
      <c r="B35" s="1"/>
      <c r="C35" s="1"/>
      <c r="D35" s="1"/>
      <c r="E35" s="1"/>
      <c r="F35" s="1"/>
      <c r="G35" s="1"/>
      <c r="H35" s="142"/>
      <c r="I35" s="142"/>
      <c r="J35" s="142"/>
      <c r="K35" s="142"/>
      <c r="L35" s="142"/>
      <c r="M35" s="142"/>
      <c r="N35" s="142"/>
      <c r="O35" s="142"/>
      <c r="P35" s="1"/>
      <c r="Q35" s="1"/>
      <c r="R35" s="1"/>
      <c r="S35" s="1"/>
      <c r="T35" s="1"/>
      <c r="U35" s="1"/>
      <c r="V35" s="1"/>
      <c r="W35" s="1"/>
    </row>
    <row r="36" spans="1:23">
      <c r="A36" s="1"/>
      <c r="B36" s="1"/>
      <c r="C36" s="1"/>
      <c r="D36" s="1"/>
      <c r="E36" s="1"/>
      <c r="F36" s="1"/>
      <c r="G36" s="1"/>
      <c r="H36" s="1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>
      <c r="A37" s="1"/>
      <c r="B37" s="1"/>
      <c r="C37" s="1"/>
      <c r="D37" s="1"/>
      <c r="E37" s="1"/>
      <c r="F37" s="1"/>
      <c r="G37" s="1"/>
      <c r="H37" s="143" t="s">
        <v>23</v>
      </c>
      <c r="I37" s="143"/>
      <c r="J37" s="143"/>
      <c r="K37" s="143"/>
      <c r="L37" s="143"/>
      <c r="M37" s="143"/>
      <c r="N37" s="143"/>
      <c r="O37" s="143"/>
      <c r="P37" s="1"/>
      <c r="Q37" s="1"/>
      <c r="R37" s="1"/>
      <c r="S37" s="1"/>
      <c r="T37" s="1"/>
      <c r="U37" s="1"/>
      <c r="V37" s="1"/>
      <c r="W37" s="1"/>
    </row>
    <row r="38" spans="1:23">
      <c r="A38" s="1"/>
      <c r="B38" s="1"/>
      <c r="C38" s="1"/>
      <c r="D38" s="1"/>
      <c r="E38" s="1"/>
      <c r="F38" s="1"/>
      <c r="G38" s="1"/>
      <c r="H38" s="10"/>
      <c r="I38" s="29"/>
      <c r="J38" s="29"/>
      <c r="K38" s="3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8.75">
      <c r="A39" s="1"/>
      <c r="B39" s="1"/>
      <c r="C39" s="1"/>
      <c r="D39" s="1"/>
      <c r="E39" s="1"/>
      <c r="F39" s="1"/>
      <c r="G39" s="1"/>
      <c r="H39" s="144" t="s">
        <v>24</v>
      </c>
      <c r="I39" s="144"/>
      <c r="J39" s="144"/>
      <c r="K39" s="144"/>
      <c r="L39" s="144"/>
      <c r="M39" s="144"/>
      <c r="N39" s="144"/>
      <c r="O39" s="144"/>
      <c r="P39" s="1"/>
      <c r="Q39" s="1"/>
      <c r="R39" s="1"/>
      <c r="S39" s="1"/>
      <c r="T39" s="1"/>
      <c r="U39" s="1"/>
      <c r="V39" s="1"/>
      <c r="W39" s="1"/>
    </row>
    <row r="40" spans="1:23">
      <c r="A40" s="1"/>
      <c r="B40" s="9" t="s">
        <v>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45" t="s">
        <v>89</v>
      </c>
      <c r="V40" s="145"/>
      <c r="W40" s="145"/>
    </row>
  </sheetData>
  <mergeCells count="10">
    <mergeCell ref="I5:J5"/>
    <mergeCell ref="B1:S1"/>
    <mergeCell ref="N4:O4"/>
    <mergeCell ref="P4:Q4"/>
    <mergeCell ref="H31:O31"/>
    <mergeCell ref="H33:O33"/>
    <mergeCell ref="H35:O35"/>
    <mergeCell ref="H37:O37"/>
    <mergeCell ref="H39:O39"/>
    <mergeCell ref="U40:W40"/>
  </mergeCells>
  <dataValidations count="1">
    <dataValidation type="list" allowBlank="1" showInputMessage="1" showErrorMessage="1" errorTitle="Celle eller Batteri type" error="Vælg 2, 6, 12 eller 24" promptTitle="Celle eller Batteri type" prompt="Vælg celle eller batteri" sqref="G2">
      <formula1>$W$7:$W$10</formula1>
    </dataValidation>
  </dataValidations>
  <hyperlinks>
    <hyperlink ref="H37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5"/>
  <dimension ref="A1:BQ100"/>
  <sheetViews>
    <sheetView workbookViewId="0"/>
  </sheetViews>
  <sheetFormatPr defaultColWidth="8.85546875" defaultRowHeight="15"/>
  <cols>
    <col min="1" max="1" width="1.7109375" style="2" customWidth="1"/>
    <col min="2" max="3" width="9.7109375" style="2" customWidth="1"/>
    <col min="4" max="5" width="9" style="2" customWidth="1"/>
    <col min="6" max="6" width="8.85546875" style="2" customWidth="1"/>
    <col min="7" max="10" width="11.7109375" style="2" customWidth="1"/>
    <col min="11" max="12" width="9.7109375" style="2" customWidth="1"/>
    <col min="13" max="13" width="11.28515625" style="2" customWidth="1"/>
    <col min="14" max="19" width="8.85546875" style="2" customWidth="1"/>
    <col min="20" max="20" width="8.85546875" style="75" customWidth="1"/>
    <col min="21" max="23" width="8.85546875" style="2" customWidth="1"/>
    <col min="24" max="16384" width="8.85546875" style="2"/>
  </cols>
  <sheetData>
    <row r="1" spans="1:28" ht="15.75">
      <c r="A1" s="1"/>
      <c r="B1" s="148" t="s">
        <v>139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50"/>
      <c r="U1" s="1"/>
      <c r="V1" s="1"/>
      <c r="W1" s="1"/>
    </row>
    <row r="2" spans="1:28">
      <c r="A2" s="1"/>
      <c r="B2" s="1" t="s">
        <v>143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50"/>
      <c r="U2" s="1"/>
      <c r="V2" s="1"/>
      <c r="W2" s="1"/>
    </row>
    <row r="3" spans="1:28">
      <c r="A3" s="1"/>
      <c r="B3" s="1" t="s">
        <v>80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50"/>
      <c r="U3" s="1"/>
      <c r="V3" s="1"/>
      <c r="W3" s="1"/>
    </row>
    <row r="4" spans="1:28" s="47" customFormat="1">
      <c r="A4" s="8"/>
      <c r="B4" s="8" t="s">
        <v>63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51"/>
      <c r="U4" s="8"/>
      <c r="V4" s="8"/>
      <c r="W4" s="8"/>
      <c r="AB4" s="52"/>
    </row>
    <row r="5" spans="1:28" s="47" customFormat="1" ht="9.6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51"/>
      <c r="U5" s="8"/>
      <c r="V5" s="8"/>
      <c r="W5" s="8"/>
      <c r="AB5" s="52"/>
    </row>
    <row r="6" spans="1:28" s="47" customFormat="1">
      <c r="A6" s="8"/>
      <c r="B6" s="1" t="s">
        <v>64</v>
      </c>
      <c r="C6" s="8"/>
      <c r="D6" s="8"/>
      <c r="E6" s="8"/>
      <c r="F6" s="8" t="s">
        <v>70</v>
      </c>
      <c r="G6" s="8"/>
      <c r="H6" s="8"/>
      <c r="I6" s="8"/>
      <c r="J6" s="8"/>
      <c r="K6" s="8"/>
      <c r="L6" s="8"/>
      <c r="M6" s="8"/>
      <c r="N6" s="8"/>
      <c r="O6" s="53"/>
      <c r="P6" s="53"/>
      <c r="Q6" s="8"/>
      <c r="R6" s="8"/>
      <c r="S6" s="8"/>
      <c r="T6" s="51"/>
      <c r="U6" s="8"/>
      <c r="V6" s="8"/>
      <c r="W6" s="8"/>
      <c r="AB6" s="52"/>
    </row>
    <row r="7" spans="1:28" s="47" customFormat="1">
      <c r="A7" s="8"/>
      <c r="B7" s="82" t="s">
        <v>140</v>
      </c>
      <c r="C7" s="8"/>
      <c r="D7" s="8"/>
      <c r="E7" s="8"/>
      <c r="F7" s="80" t="s">
        <v>81</v>
      </c>
      <c r="G7" s="1"/>
      <c r="H7" s="1"/>
      <c r="I7" s="54" t="s">
        <v>82</v>
      </c>
      <c r="J7" s="8"/>
      <c r="K7" s="8"/>
      <c r="L7" s="179" t="s">
        <v>91</v>
      </c>
      <c r="M7" s="179"/>
      <c r="N7" s="179"/>
      <c r="O7" s="179"/>
      <c r="P7" s="55"/>
      <c r="Q7" s="8"/>
      <c r="R7" s="8"/>
      <c r="S7" s="8"/>
      <c r="T7" s="51"/>
      <c r="U7" s="8"/>
      <c r="V7" s="8"/>
      <c r="W7" s="8"/>
      <c r="AB7" s="52"/>
    </row>
    <row r="8" spans="1:28" s="47" customFormat="1">
      <c r="A8" s="8"/>
      <c r="B8" s="83" t="s">
        <v>57</v>
      </c>
      <c r="C8" s="8"/>
      <c r="D8" s="8"/>
      <c r="E8" s="8"/>
      <c r="F8" s="56" t="s">
        <v>83</v>
      </c>
      <c r="G8" s="1"/>
      <c r="H8" s="1"/>
      <c r="I8" s="54" t="s">
        <v>84</v>
      </c>
      <c r="J8" s="8"/>
      <c r="K8" s="8"/>
      <c r="L8" s="8"/>
      <c r="M8" s="8"/>
      <c r="N8" s="8"/>
      <c r="O8" s="57"/>
      <c r="P8" s="58"/>
      <c r="Q8" s="8"/>
      <c r="R8" s="8"/>
      <c r="S8" s="8"/>
      <c r="T8" s="51"/>
      <c r="U8" s="8"/>
      <c r="V8" s="8"/>
      <c r="W8" s="8"/>
      <c r="AB8" s="52"/>
    </row>
    <row r="9" spans="1:28" s="47" customFormat="1">
      <c r="A9" s="8"/>
      <c r="B9" s="84" t="s">
        <v>58</v>
      </c>
      <c r="C9" s="8"/>
      <c r="D9" s="8"/>
      <c r="E9" s="8"/>
      <c r="F9" s="59" t="s">
        <v>85</v>
      </c>
      <c r="G9" s="1"/>
      <c r="H9" s="1"/>
      <c r="I9" s="54" t="s">
        <v>86</v>
      </c>
      <c r="J9" s="8"/>
      <c r="K9" s="8"/>
      <c r="L9" s="8"/>
      <c r="M9" s="59"/>
      <c r="N9" s="1"/>
      <c r="O9" s="57"/>
      <c r="P9" s="58"/>
      <c r="Q9" s="8"/>
      <c r="R9" s="8"/>
      <c r="S9" s="8"/>
      <c r="T9" s="51"/>
      <c r="U9" s="8"/>
      <c r="V9" s="8"/>
      <c r="W9" s="8"/>
      <c r="AB9" s="52"/>
    </row>
    <row r="10" spans="1:28">
      <c r="A10" s="1"/>
      <c r="B10" s="1" t="s">
        <v>56</v>
      </c>
      <c r="C10" s="1"/>
      <c r="D10" s="1"/>
      <c r="E10" s="1"/>
      <c r="F10" s="59" t="s">
        <v>87</v>
      </c>
      <c r="G10" s="1"/>
      <c r="H10" s="1"/>
      <c r="I10" s="54" t="s">
        <v>88</v>
      </c>
      <c r="J10" s="1"/>
      <c r="K10" s="1"/>
      <c r="L10" s="1"/>
      <c r="M10" s="1"/>
      <c r="N10" s="60"/>
      <c r="O10" s="57"/>
      <c r="P10" s="58"/>
      <c r="Q10" s="1"/>
      <c r="R10" s="1"/>
      <c r="S10" s="1"/>
      <c r="T10" s="50"/>
      <c r="U10" s="1"/>
      <c r="V10" s="1"/>
      <c r="W10" s="1"/>
      <c r="AB10" s="61"/>
    </row>
    <row r="11" spans="1:28">
      <c r="A11" s="1"/>
      <c r="B11" s="1" t="s">
        <v>106</v>
      </c>
      <c r="C11" s="1"/>
      <c r="D11" s="1"/>
      <c r="E11" s="1"/>
      <c r="F11" s="59"/>
      <c r="G11" s="1"/>
      <c r="H11" s="1"/>
      <c r="I11" s="54"/>
      <c r="J11" s="1"/>
      <c r="K11" s="1"/>
      <c r="L11" s="1"/>
      <c r="M11" s="1"/>
      <c r="N11" s="60"/>
      <c r="O11" s="57"/>
      <c r="P11" s="58"/>
      <c r="Q11" s="1"/>
      <c r="R11" s="1"/>
      <c r="S11" s="1"/>
      <c r="T11" s="50"/>
      <c r="U11" s="1"/>
      <c r="V11" s="1"/>
      <c r="W11" s="1"/>
      <c r="AB11" s="61"/>
    </row>
    <row r="12" spans="1:28" ht="14.45" customHeight="1">
      <c r="A12" s="1"/>
      <c r="B12" s="1"/>
      <c r="C12" s="1"/>
      <c r="D12" s="1"/>
      <c r="E12" s="1"/>
      <c r="F12" s="59"/>
      <c r="G12" s="1"/>
      <c r="H12" s="1"/>
      <c r="I12" s="54"/>
      <c r="J12" s="1"/>
      <c r="K12" s="1"/>
      <c r="L12" s="1"/>
      <c r="M12" s="1"/>
      <c r="N12" s="60"/>
      <c r="O12" s="1"/>
      <c r="P12" s="1"/>
      <c r="Q12" s="1"/>
      <c r="R12" s="1"/>
      <c r="S12" s="1"/>
      <c r="T12" s="50"/>
      <c r="U12" s="1"/>
      <c r="V12" s="1"/>
      <c r="W12" s="1"/>
      <c r="AB12" s="61"/>
    </row>
    <row r="13" spans="1:28">
      <c r="A13" s="1"/>
      <c r="B13" s="1"/>
      <c r="C13" s="1" t="s">
        <v>158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1"/>
      <c r="S13" s="1"/>
      <c r="T13" s="50"/>
      <c r="U13" s="1"/>
      <c r="V13" s="1"/>
      <c r="W13" s="1"/>
      <c r="AB13" s="61"/>
    </row>
    <row r="14" spans="1:28">
      <c r="A14" s="1"/>
      <c r="B14" s="62" t="s">
        <v>118</v>
      </c>
      <c r="C14" s="149" t="s">
        <v>136</v>
      </c>
      <c r="D14" s="160"/>
      <c r="E14" s="160"/>
      <c r="F14" s="102">
        <f>$H$20*(POWER(($D$20/($P$20*$H$20)),$L$20))</f>
        <v>20</v>
      </c>
      <c r="G14" s="62" t="s">
        <v>59</v>
      </c>
      <c r="H14" s="62" t="s">
        <v>62</v>
      </c>
      <c r="I14" s="62"/>
      <c r="J14" s="103" t="s">
        <v>116</v>
      </c>
      <c r="K14" s="149" t="s">
        <v>137</v>
      </c>
      <c r="L14" s="160"/>
      <c r="M14" s="160"/>
      <c r="N14" s="102">
        <f>$D$20*(POWER(($D$20/($P$20*$H$20)),($L$20-1)))</f>
        <v>100</v>
      </c>
      <c r="O14" s="62" t="s">
        <v>51</v>
      </c>
      <c r="P14" s="62"/>
      <c r="Q14" s="62"/>
      <c r="R14" s="1"/>
      <c r="S14" s="1"/>
      <c r="T14" s="1"/>
      <c r="U14" s="1"/>
      <c r="V14" s="1"/>
      <c r="W14" s="1"/>
      <c r="AB14" s="61"/>
    </row>
    <row r="15" spans="1:28">
      <c r="A15" s="1"/>
      <c r="B15" s="1"/>
      <c r="C15" s="62" t="s">
        <v>120</v>
      </c>
      <c r="D15" s="109"/>
      <c r="E15" s="109"/>
      <c r="F15" s="109"/>
      <c r="G15" s="102"/>
      <c r="H15" s="102">
        <f>+P24</f>
        <v>20</v>
      </c>
      <c r="I15" s="103" t="s">
        <v>121</v>
      </c>
      <c r="J15" s="16" t="s">
        <v>138</v>
      </c>
      <c r="K15" s="138"/>
      <c r="L15" s="138"/>
      <c r="M15" s="138"/>
      <c r="N15" s="138"/>
      <c r="O15" s="138"/>
      <c r="P15" s="62"/>
      <c r="Q15" s="62"/>
      <c r="R15" s="1"/>
      <c r="S15" s="1"/>
      <c r="T15" s="1"/>
      <c r="U15" s="1"/>
      <c r="V15" s="1"/>
      <c r="W15" s="1"/>
      <c r="AB15" s="61"/>
    </row>
    <row r="16" spans="1:28" ht="15.75">
      <c r="A16" s="1"/>
      <c r="B16" s="62" t="s">
        <v>119</v>
      </c>
      <c r="C16" s="149" t="s">
        <v>136</v>
      </c>
      <c r="D16" s="160"/>
      <c r="E16" s="160"/>
      <c r="F16" s="102">
        <f>$H$24*(POWER(($D$24/($P$24*$H$24)),$L$24))</f>
        <v>3.2987697769322351</v>
      </c>
      <c r="G16" s="62" t="s">
        <v>59</v>
      </c>
      <c r="H16" s="62" t="s">
        <v>62</v>
      </c>
      <c r="I16" s="62"/>
      <c r="J16" s="103" t="s">
        <v>117</v>
      </c>
      <c r="K16" s="149" t="s">
        <v>137</v>
      </c>
      <c r="L16" s="160"/>
      <c r="M16" s="160"/>
      <c r="N16" s="102">
        <f>$D$24*(POWER(($D$24/($P$24*$H$24)),($L$24-1)))</f>
        <v>65.975395538644705</v>
      </c>
      <c r="O16" s="62" t="s">
        <v>51</v>
      </c>
      <c r="P16" s="62"/>
      <c r="Q16" s="92"/>
      <c r="R16" s="63"/>
      <c r="S16" s="63"/>
      <c r="T16" s="63"/>
      <c r="U16" s="63"/>
      <c r="V16" s="1"/>
      <c r="W16" s="1"/>
      <c r="AB16" s="64"/>
    </row>
    <row r="17" spans="1:69" ht="15.75">
      <c r="A17" s="1"/>
      <c r="B17" s="62"/>
      <c r="C17" s="109"/>
      <c r="D17" s="109"/>
      <c r="E17" s="109"/>
      <c r="F17" s="102"/>
      <c r="G17" s="62"/>
      <c r="H17" s="62"/>
      <c r="I17" s="62"/>
      <c r="J17" s="103"/>
      <c r="K17" s="109"/>
      <c r="L17" s="109"/>
      <c r="M17" s="109"/>
      <c r="N17" s="102"/>
      <c r="O17" s="62"/>
      <c r="P17" s="62"/>
      <c r="Q17" s="92"/>
      <c r="R17" s="63"/>
      <c r="S17" s="63"/>
      <c r="T17" s="63"/>
      <c r="U17" s="63"/>
      <c r="V17" s="1"/>
      <c r="W17" s="1"/>
      <c r="AB17" s="64"/>
    </row>
    <row r="18" spans="1:69" ht="15.6" customHeight="1">
      <c r="A18" s="1"/>
      <c r="B18" s="166" t="s">
        <v>115</v>
      </c>
      <c r="C18" s="166"/>
      <c r="D18" s="166"/>
      <c r="E18" s="166"/>
      <c r="F18" s="166"/>
      <c r="G18" s="166"/>
      <c r="H18" s="115">
        <f>+N14</f>
        <v>100</v>
      </c>
      <c r="I18" s="116" t="s">
        <v>51</v>
      </c>
      <c r="J18" s="117" t="s">
        <v>76</v>
      </c>
      <c r="K18" s="166" t="s">
        <v>77</v>
      </c>
      <c r="L18" s="166"/>
      <c r="M18" s="115">
        <f>+P20</f>
        <v>5</v>
      </c>
      <c r="N18" s="116" t="s">
        <v>79</v>
      </c>
      <c r="O18" s="118">
        <f>+F14</f>
        <v>20</v>
      </c>
      <c r="P18" s="166" t="s">
        <v>78</v>
      </c>
      <c r="Q18" s="166"/>
      <c r="R18" s="79"/>
      <c r="S18" s="79"/>
      <c r="T18" s="79"/>
      <c r="U18" s="79"/>
      <c r="V18" s="1"/>
      <c r="W18" s="1"/>
      <c r="AB18" s="65"/>
    </row>
    <row r="19" spans="1:69">
      <c r="A19" s="1"/>
      <c r="B19" s="155" t="s">
        <v>102</v>
      </c>
      <c r="C19" s="156"/>
      <c r="D19" s="156"/>
      <c r="E19" s="156"/>
      <c r="F19" s="156"/>
      <c r="G19" s="156"/>
      <c r="H19" s="156"/>
      <c r="I19" s="156"/>
      <c r="J19" s="154" t="s">
        <v>71</v>
      </c>
      <c r="K19" s="154"/>
      <c r="L19" s="154"/>
      <c r="M19" s="154"/>
      <c r="N19" s="154" t="s">
        <v>101</v>
      </c>
      <c r="O19" s="154"/>
      <c r="P19" s="154"/>
      <c r="Q19" s="154"/>
      <c r="R19" s="1"/>
      <c r="S19" s="1"/>
      <c r="T19" s="50"/>
      <c r="U19" s="1"/>
      <c r="V19" s="1"/>
      <c r="W19" s="1"/>
      <c r="AB19" s="66"/>
    </row>
    <row r="20" spans="1:69">
      <c r="A20" s="1"/>
      <c r="B20" s="157" t="s">
        <v>75</v>
      </c>
      <c r="C20" s="157"/>
      <c r="D20" s="122">
        <v>100</v>
      </c>
      <c r="E20" s="123" t="s">
        <v>65</v>
      </c>
      <c r="F20" s="158" t="s">
        <v>73</v>
      </c>
      <c r="G20" s="158"/>
      <c r="H20" s="124">
        <v>20</v>
      </c>
      <c r="I20" s="125" t="s">
        <v>67</v>
      </c>
      <c r="J20" s="159" t="s">
        <v>69</v>
      </c>
      <c r="K20" s="159"/>
      <c r="L20" s="126">
        <v>1.3</v>
      </c>
      <c r="M20" s="106" t="s">
        <v>68</v>
      </c>
      <c r="N20" s="165" t="s">
        <v>74</v>
      </c>
      <c r="O20" s="165"/>
      <c r="P20" s="127">
        <f>+ROUND(D20/H20,3)</f>
        <v>5</v>
      </c>
      <c r="Q20" s="67" t="s">
        <v>66</v>
      </c>
      <c r="R20" s="1"/>
      <c r="S20" s="1"/>
      <c r="T20" s="50"/>
      <c r="U20" s="1"/>
      <c r="V20" s="1"/>
      <c r="W20" s="1"/>
      <c r="AB20" s="66"/>
    </row>
    <row r="21" spans="1:69">
      <c r="A21" s="1"/>
      <c r="B21" s="128"/>
      <c r="C21" s="128"/>
      <c r="D21" s="129"/>
      <c r="E21" s="128"/>
      <c r="F21" s="130"/>
      <c r="G21" s="130"/>
      <c r="H21" s="131"/>
      <c r="I21" s="130"/>
      <c r="J21" s="108"/>
      <c r="K21" s="108"/>
      <c r="L21" s="132"/>
      <c r="M21" s="108"/>
      <c r="N21" s="107"/>
      <c r="O21" s="107"/>
      <c r="P21" s="133"/>
      <c r="Q21" s="107"/>
      <c r="R21" s="1"/>
      <c r="S21" s="1"/>
      <c r="T21" s="50"/>
      <c r="U21" s="1"/>
      <c r="V21" s="1"/>
      <c r="W21" s="1"/>
      <c r="AB21" s="66"/>
    </row>
    <row r="22" spans="1:69">
      <c r="A22" s="1"/>
      <c r="B22" s="153" t="s">
        <v>144</v>
      </c>
      <c r="C22" s="153"/>
      <c r="D22" s="153"/>
      <c r="E22" s="153"/>
      <c r="F22" s="153"/>
      <c r="G22" s="153"/>
      <c r="H22" s="119">
        <f>+N16</f>
        <v>65.975395538644705</v>
      </c>
      <c r="I22" s="120" t="s">
        <v>51</v>
      </c>
      <c r="J22" s="121" t="s">
        <v>76</v>
      </c>
      <c r="K22" s="153" t="s">
        <v>77</v>
      </c>
      <c r="L22" s="153"/>
      <c r="M22" s="119">
        <f>+P24</f>
        <v>20</v>
      </c>
      <c r="N22" s="120" t="s">
        <v>79</v>
      </c>
      <c r="O22" s="119">
        <f>+F16</f>
        <v>3.2987697769322351</v>
      </c>
      <c r="P22" s="153" t="s">
        <v>78</v>
      </c>
      <c r="Q22" s="153"/>
      <c r="R22" s="1"/>
      <c r="S22" s="1"/>
      <c r="T22" s="50"/>
      <c r="U22" s="1"/>
      <c r="V22" s="1"/>
      <c r="W22" s="1"/>
      <c r="AB22" s="66"/>
    </row>
    <row r="23" spans="1:69" ht="15.6" customHeight="1">
      <c r="A23" s="1"/>
      <c r="B23" s="155" t="s">
        <v>122</v>
      </c>
      <c r="C23" s="156"/>
      <c r="D23" s="156"/>
      <c r="E23" s="156"/>
      <c r="F23" s="156"/>
      <c r="G23" s="156"/>
      <c r="H23" s="156"/>
      <c r="I23" s="156"/>
      <c r="J23" s="154" t="s">
        <v>123</v>
      </c>
      <c r="K23" s="154"/>
      <c r="L23" s="154"/>
      <c r="M23" s="154"/>
      <c r="N23" s="152" t="s">
        <v>114</v>
      </c>
      <c r="O23" s="152"/>
      <c r="P23" s="152"/>
      <c r="Q23" s="152"/>
      <c r="R23" s="1"/>
      <c r="S23" s="1"/>
      <c r="T23" s="50"/>
      <c r="U23" s="1"/>
      <c r="V23" s="1"/>
      <c r="W23" s="1"/>
      <c r="AB23" s="66"/>
    </row>
    <row r="24" spans="1:69">
      <c r="A24" s="1"/>
      <c r="B24" s="157" t="s">
        <v>75</v>
      </c>
      <c r="C24" s="157"/>
      <c r="D24" s="134">
        <f>H24*P24</f>
        <v>65.975395538644705</v>
      </c>
      <c r="E24" s="123" t="s">
        <v>65</v>
      </c>
      <c r="F24" s="158" t="s">
        <v>73</v>
      </c>
      <c r="G24" s="158"/>
      <c r="H24" s="135">
        <f>(D20*(D20/H20)^(L20-1))/P24^(L20)</f>
        <v>3.2987697769322351</v>
      </c>
      <c r="I24" s="125" t="s">
        <v>67</v>
      </c>
      <c r="J24" s="159" t="s">
        <v>69</v>
      </c>
      <c r="K24" s="159"/>
      <c r="L24" s="136">
        <f>+L20</f>
        <v>1.3</v>
      </c>
      <c r="M24" s="106" t="s">
        <v>68</v>
      </c>
      <c r="N24" s="165" t="s">
        <v>74</v>
      </c>
      <c r="O24" s="165"/>
      <c r="P24" s="137">
        <v>20</v>
      </c>
      <c r="Q24" s="67" t="s">
        <v>66</v>
      </c>
      <c r="R24" s="1"/>
      <c r="S24" s="1"/>
      <c r="T24" s="50"/>
      <c r="U24" s="1"/>
      <c r="V24" s="1"/>
      <c r="W24" s="1"/>
      <c r="AB24" s="66"/>
    </row>
    <row r="25" spans="1:69" s="66" customFormat="1" ht="15.6" customHeight="1">
      <c r="A25" s="62"/>
      <c r="B25" s="201" t="s">
        <v>103</v>
      </c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93"/>
      <c r="S25" s="93"/>
      <c r="T25" s="78"/>
      <c r="U25" s="62"/>
      <c r="V25" s="62"/>
      <c r="W25" s="62"/>
    </row>
    <row r="26" spans="1:69">
      <c r="A26" s="1"/>
      <c r="B26" s="162" t="s">
        <v>95</v>
      </c>
      <c r="C26" s="162"/>
      <c r="D26" s="162"/>
      <c r="E26" s="88">
        <f>($W$26/10)*0.1</f>
        <v>1</v>
      </c>
      <c r="F26" s="88">
        <f>($W$26/10)*0.2</f>
        <v>2</v>
      </c>
      <c r="G26" s="88">
        <f>($W$26/10)*0.3</f>
        <v>3</v>
      </c>
      <c r="H26" s="88">
        <f>($W$26/10)*0.4</f>
        <v>4</v>
      </c>
      <c r="I26" s="88">
        <f>($W$26/10)*0.5</f>
        <v>5</v>
      </c>
      <c r="J26" s="88">
        <f>($W$26/10)*0.6</f>
        <v>6</v>
      </c>
      <c r="K26" s="88">
        <f>($W$26/10)*0.7</f>
        <v>7</v>
      </c>
      <c r="L26" s="88">
        <f>($W$26/10)*0.8</f>
        <v>8</v>
      </c>
      <c r="M26" s="88">
        <f>($W$26/10)*0.9</f>
        <v>9</v>
      </c>
      <c r="N26" s="88">
        <f>($W$26/10)*1</f>
        <v>10</v>
      </c>
      <c r="O26" s="88">
        <f>($W$26/10)*2</f>
        <v>20</v>
      </c>
      <c r="P26" s="88">
        <f>($W$26/10)*3</f>
        <v>30</v>
      </c>
      <c r="Q26" s="88">
        <f>($W$26/10)*4</f>
        <v>40</v>
      </c>
      <c r="R26" s="88">
        <f>($W$26/10)*5</f>
        <v>50</v>
      </c>
      <c r="S26" s="88">
        <f>($W$26/10)*6</f>
        <v>60</v>
      </c>
      <c r="T26" s="88">
        <f>($W$26/10)*7</f>
        <v>70</v>
      </c>
      <c r="U26" s="88">
        <f>($W$26/10)*8</f>
        <v>80</v>
      </c>
      <c r="V26" s="88">
        <f>($W$26/10)*9</f>
        <v>90</v>
      </c>
      <c r="W26" s="89">
        <f>+D20</f>
        <v>100</v>
      </c>
      <c r="X26" s="68"/>
      <c r="Y26" s="68"/>
      <c r="Z26" s="68"/>
      <c r="AA26" s="68"/>
      <c r="AB26" s="69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</row>
    <row r="27" spans="1:69">
      <c r="A27" s="1"/>
      <c r="B27" s="163" t="s">
        <v>99</v>
      </c>
      <c r="C27" s="163"/>
      <c r="D27" s="163"/>
      <c r="E27" s="76">
        <f t="shared" ref="E27:H27" si="0">$H$20*(POWER(($D$20/(E26*$H$20)),$L$20))</f>
        <v>162.06565966927624</v>
      </c>
      <c r="F27" s="76">
        <f t="shared" si="0"/>
        <v>65.819110216711877</v>
      </c>
      <c r="G27" s="76">
        <f t="shared" si="0"/>
        <v>38.853788356357192</v>
      </c>
      <c r="H27" s="76">
        <f t="shared" si="0"/>
        <v>26.730864999779701</v>
      </c>
      <c r="I27" s="76">
        <f>$H$20*(POWER(($D$20/(I26*$H$20)),$L$20))</f>
        <v>20</v>
      </c>
      <c r="J27" s="76">
        <f t="shared" ref="J27:W27" si="1">$H$20*(POWER(($D$20/(J26*$H$20)),$L$20))</f>
        <v>15.779541349984566</v>
      </c>
      <c r="K27" s="76">
        <f t="shared" si="1"/>
        <v>12.914082284940132</v>
      </c>
      <c r="L27" s="76">
        <f t="shared" si="1"/>
        <v>10.856104576373042</v>
      </c>
      <c r="M27" s="76">
        <f t="shared" si="1"/>
        <v>9.3148472830162738</v>
      </c>
      <c r="N27" s="76">
        <f t="shared" si="1"/>
        <v>8.1225239635623545</v>
      </c>
      <c r="O27" s="76">
        <f t="shared" si="1"/>
        <v>3.2987697769322355</v>
      </c>
      <c r="P27" s="76">
        <f t="shared" si="1"/>
        <v>1.9473022702262184</v>
      </c>
      <c r="Q27" s="76">
        <f t="shared" si="1"/>
        <v>1.3397168281703666</v>
      </c>
      <c r="R27" s="76">
        <f t="shared" si="1"/>
        <v>1.0023744672545445</v>
      </c>
      <c r="S27" s="76">
        <f t="shared" si="1"/>
        <v>0.79085046771059164</v>
      </c>
      <c r="T27" s="76">
        <f t="shared" si="1"/>
        <v>0.64723731752241043</v>
      </c>
      <c r="U27" s="76">
        <f t="shared" si="1"/>
        <v>0.54409410206007758</v>
      </c>
      <c r="V27" s="76">
        <f t="shared" si="1"/>
        <v>0.46684825414354375</v>
      </c>
      <c r="W27" s="76">
        <f t="shared" si="1"/>
        <v>0.40709053153690433</v>
      </c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</row>
    <row r="28" spans="1:69">
      <c r="A28" s="1"/>
      <c r="B28" s="200" t="s">
        <v>124</v>
      </c>
      <c r="C28" s="200"/>
      <c r="D28" s="200"/>
      <c r="E28" s="85">
        <f t="shared" ref="E28:H28" si="2">E26^$L$20/($D$20/$H$20)^($L$20-1)</f>
        <v>0.6170338627200096</v>
      </c>
      <c r="F28" s="85">
        <f t="shared" si="2"/>
        <v>1.5193155858647478</v>
      </c>
      <c r="G28" s="85">
        <f t="shared" si="2"/>
        <v>2.573751601332285</v>
      </c>
      <c r="H28" s="85">
        <f t="shared" si="2"/>
        <v>3.7409937912904851</v>
      </c>
      <c r="I28" s="85">
        <f>I26^$L$20/($D$20/$H$20)^($L$20-1)</f>
        <v>5</v>
      </c>
      <c r="J28" s="85">
        <f t="shared" ref="J28:W28" si="3">J26^$L$20/($D$20/$H$20)^($L$20-1)</f>
        <v>6.3373198106355497</v>
      </c>
      <c r="K28" s="85">
        <f t="shared" si="3"/>
        <v>7.7434848093399467</v>
      </c>
      <c r="L28" s="85">
        <f t="shared" si="3"/>
        <v>9.2114072130105971</v>
      </c>
      <c r="M28" s="85">
        <f t="shared" si="3"/>
        <v>10.735549060726918</v>
      </c>
      <c r="N28" s="85">
        <f t="shared" si="3"/>
        <v>12.311444133449168</v>
      </c>
      <c r="O28" s="85">
        <f t="shared" si="3"/>
        <v>30.314331330207967</v>
      </c>
      <c r="P28" s="85">
        <f t="shared" si="3"/>
        <v>51.35309578229117</v>
      </c>
      <c r="Q28" s="85">
        <f t="shared" si="3"/>
        <v>74.642639322944618</v>
      </c>
      <c r="R28" s="85">
        <f t="shared" si="3"/>
        <v>99.763115748443965</v>
      </c>
      <c r="S28" s="85">
        <f t="shared" si="3"/>
        <v>126.44615396066821</v>
      </c>
      <c r="T28" s="85">
        <f t="shared" si="3"/>
        <v>154.50283426609988</v>
      </c>
      <c r="U28" s="85">
        <f t="shared" si="3"/>
        <v>183.79173679952552</v>
      </c>
      <c r="V28" s="85">
        <f t="shared" si="3"/>
        <v>214.20236471367963</v>
      </c>
      <c r="W28" s="85">
        <f t="shared" si="3"/>
        <v>245.6456052231583</v>
      </c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</row>
    <row r="29" spans="1:69">
      <c r="A29" s="1"/>
      <c r="B29" s="164" t="s">
        <v>100</v>
      </c>
      <c r="C29" s="164"/>
      <c r="D29" s="164"/>
      <c r="E29" s="77">
        <f t="shared" ref="E29:H29" si="4">E26*E27</f>
        <v>162.06565966927624</v>
      </c>
      <c r="F29" s="77">
        <f t="shared" si="4"/>
        <v>131.63822043342375</v>
      </c>
      <c r="G29" s="77">
        <f t="shared" si="4"/>
        <v>116.56136506907157</v>
      </c>
      <c r="H29" s="77">
        <f t="shared" si="4"/>
        <v>106.9234599991188</v>
      </c>
      <c r="I29" s="77">
        <f>I26*I27</f>
        <v>100</v>
      </c>
      <c r="J29" s="77">
        <f t="shared" ref="J29:W29" si="5">J26*J27</f>
        <v>94.677248099907388</v>
      </c>
      <c r="K29" s="77">
        <f t="shared" si="5"/>
        <v>90.398575994580924</v>
      </c>
      <c r="L29" s="77">
        <f t="shared" si="5"/>
        <v>86.848836610984335</v>
      </c>
      <c r="M29" s="77">
        <f t="shared" si="5"/>
        <v>83.833625547146468</v>
      </c>
      <c r="N29" s="77">
        <f t="shared" si="5"/>
        <v>81.225239635623552</v>
      </c>
      <c r="O29" s="77">
        <f t="shared" si="5"/>
        <v>65.975395538644705</v>
      </c>
      <c r="P29" s="77">
        <f t="shared" si="5"/>
        <v>58.419068106786554</v>
      </c>
      <c r="Q29" s="77">
        <f t="shared" si="5"/>
        <v>53.588673126814669</v>
      </c>
      <c r="R29" s="77">
        <f t="shared" si="5"/>
        <v>50.118723362727224</v>
      </c>
      <c r="S29" s="77">
        <f t="shared" si="5"/>
        <v>47.451028062635501</v>
      </c>
      <c r="T29" s="77">
        <f t="shared" si="5"/>
        <v>45.306612226568731</v>
      </c>
      <c r="U29" s="77">
        <f t="shared" si="5"/>
        <v>43.527528164806206</v>
      </c>
      <c r="V29" s="77">
        <f t="shared" si="5"/>
        <v>42.016342872918941</v>
      </c>
      <c r="W29" s="77">
        <f t="shared" si="5"/>
        <v>40.709053153690434</v>
      </c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</row>
    <row r="30" spans="1:69" ht="14.45" customHeight="1" thickBot="1">
      <c r="A30" s="1"/>
      <c r="B30" s="90"/>
      <c r="C30" s="90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71"/>
      <c r="U30" s="72"/>
      <c r="V30" s="72"/>
      <c r="W30" s="72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</row>
    <row r="31" spans="1:69" ht="14.45" customHeight="1">
      <c r="A31" s="1"/>
      <c r="B31" s="180" t="str">
        <f>+B26</f>
        <v>Afladnings strøm [A]</v>
      </c>
      <c r="C31" s="181"/>
      <c r="D31" s="181"/>
      <c r="E31" s="192">
        <f>+P24</f>
        <v>20</v>
      </c>
      <c r="F31" s="193"/>
      <c r="G31" s="184" t="str">
        <f>+B27</f>
        <v>Tid [h]</v>
      </c>
      <c r="H31" s="185"/>
      <c r="I31" s="188">
        <f>$H$20*(POWER(($D$20/(E31*$H$20)),$L$20))</f>
        <v>3.2987697769322355</v>
      </c>
      <c r="J31" s="189"/>
      <c r="K31" s="196" t="str">
        <f>+B28</f>
        <v>Peukerts korrigerede amp. Ip</v>
      </c>
      <c r="L31" s="197"/>
      <c r="M31" s="167">
        <f>E31^$L$20/($D$20/$H$20)^($L$20-1)</f>
        <v>30.314331330207967</v>
      </c>
      <c r="N31" s="168"/>
      <c r="O31" s="171" t="str">
        <f>+B29</f>
        <v>Total [Ah] tilgængelig</v>
      </c>
      <c r="P31" s="172"/>
      <c r="Q31" s="175">
        <f>E31*I31</f>
        <v>65.975395538644705</v>
      </c>
      <c r="R31" s="176"/>
      <c r="S31" s="91"/>
      <c r="T31" s="71"/>
      <c r="U31" s="72"/>
      <c r="V31" s="72"/>
      <c r="W31" s="72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</row>
    <row r="32" spans="1:69" ht="14.45" customHeight="1" thickBot="1">
      <c r="A32" s="1"/>
      <c r="B32" s="182"/>
      <c r="C32" s="183"/>
      <c r="D32" s="183"/>
      <c r="E32" s="194"/>
      <c r="F32" s="195"/>
      <c r="G32" s="186"/>
      <c r="H32" s="187"/>
      <c r="I32" s="190"/>
      <c r="J32" s="191"/>
      <c r="K32" s="198"/>
      <c r="L32" s="199"/>
      <c r="M32" s="169"/>
      <c r="N32" s="170"/>
      <c r="O32" s="173"/>
      <c r="P32" s="174"/>
      <c r="Q32" s="177"/>
      <c r="R32" s="178"/>
      <c r="S32" s="91"/>
      <c r="T32" s="71"/>
      <c r="U32" s="72"/>
      <c r="V32" s="72"/>
      <c r="W32" s="72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</row>
    <row r="33" spans="1:69">
      <c r="A33" s="1"/>
      <c r="B33" s="1"/>
      <c r="C33" s="1"/>
      <c r="D33" s="1"/>
      <c r="E33" s="8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59"/>
      <c r="T33" s="74"/>
      <c r="U33" s="59"/>
      <c r="V33" s="59"/>
      <c r="W33" s="59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</row>
    <row r="34" spans="1:69">
      <c r="A34" s="1"/>
      <c r="B34" s="1"/>
      <c r="C34" s="1"/>
      <c r="D34" s="1"/>
      <c r="E34" s="8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50"/>
      <c r="U34" s="1"/>
      <c r="V34" s="1"/>
      <c r="W34" s="1"/>
    </row>
    <row r="35" spans="1:69">
      <c r="A35" s="1"/>
      <c r="B35" s="1"/>
      <c r="C35" s="1"/>
      <c r="D35" s="1"/>
      <c r="E35" s="8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50"/>
      <c r="U35" s="1"/>
      <c r="V35" s="1"/>
      <c r="W35" s="1"/>
    </row>
    <row r="36" spans="1:69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50"/>
      <c r="U36" s="1"/>
      <c r="V36" s="1"/>
      <c r="W36" s="1"/>
    </row>
    <row r="37" spans="1:69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50"/>
      <c r="U37" s="1"/>
      <c r="V37" s="1"/>
      <c r="W37" s="1"/>
    </row>
    <row r="38" spans="1:6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50"/>
      <c r="U38" s="1"/>
      <c r="V38" s="1"/>
      <c r="W38" s="1"/>
    </row>
    <row r="39" spans="1:6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50"/>
      <c r="U39" s="1"/>
      <c r="V39" s="1"/>
      <c r="W39" s="1"/>
    </row>
    <row r="40" spans="1:6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50"/>
      <c r="U40" s="1"/>
      <c r="V40" s="1"/>
      <c r="W40" s="1"/>
    </row>
    <row r="41" spans="1:6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50"/>
      <c r="U41" s="1"/>
      <c r="V41" s="1"/>
      <c r="W41" s="1"/>
    </row>
    <row r="42" spans="1:69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50"/>
      <c r="U42" s="1"/>
      <c r="V42" s="1"/>
      <c r="W42" s="1"/>
    </row>
    <row r="43" spans="1:6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50"/>
      <c r="U43" s="1"/>
      <c r="V43" s="1"/>
      <c r="W43" s="1"/>
    </row>
    <row r="44" spans="1:6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50"/>
      <c r="U44" s="1"/>
      <c r="V44" s="1"/>
      <c r="W44" s="1"/>
    </row>
    <row r="45" spans="1:6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50"/>
      <c r="U45" s="1"/>
      <c r="V45" s="1"/>
      <c r="W45" s="1"/>
    </row>
    <row r="46" spans="1:6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50"/>
      <c r="U46" s="1"/>
      <c r="V46" s="1"/>
      <c r="W46" s="1"/>
    </row>
    <row r="47" spans="1:69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50"/>
      <c r="U47" s="1"/>
      <c r="V47" s="1"/>
      <c r="W47" s="1"/>
    </row>
    <row r="48" spans="1:6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50"/>
      <c r="U48" s="1"/>
      <c r="V48" s="1"/>
      <c r="W48" s="1"/>
    </row>
    <row r="49" spans="1:2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50"/>
      <c r="U49" s="1"/>
      <c r="V49" s="1"/>
      <c r="W49" s="1"/>
    </row>
    <row r="50" spans="1:2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50"/>
      <c r="U50" s="1"/>
      <c r="V50" s="1"/>
      <c r="W50" s="1"/>
    </row>
    <row r="51" spans="1:2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50"/>
      <c r="U51" s="1"/>
      <c r="V51" s="1"/>
      <c r="W51" s="1"/>
    </row>
    <row r="52" spans="1:2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50"/>
      <c r="U52" s="1"/>
      <c r="V52" s="1"/>
      <c r="W52" s="1"/>
    </row>
    <row r="53" spans="1:2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50"/>
      <c r="U53" s="1"/>
      <c r="V53" s="1"/>
      <c r="W53" s="1"/>
    </row>
    <row r="54" spans="1:2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50"/>
      <c r="U54" s="1"/>
      <c r="V54" s="1"/>
      <c r="W54" s="1"/>
    </row>
    <row r="55" spans="1:2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50"/>
      <c r="U55" s="1"/>
      <c r="V55" s="1"/>
      <c r="W55" s="1"/>
    </row>
    <row r="56" spans="1:2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50"/>
      <c r="U56" s="1"/>
      <c r="V56" s="1"/>
      <c r="W56" s="1"/>
    </row>
    <row r="57" spans="1:2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50"/>
      <c r="U57" s="1"/>
      <c r="V57" s="1"/>
      <c r="W57" s="1"/>
    </row>
    <row r="58" spans="1:2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50"/>
      <c r="U58" s="1"/>
      <c r="V58" s="1"/>
      <c r="W58" s="1"/>
    </row>
    <row r="59" spans="1:23" ht="15.75" thickBot="1">
      <c r="A59" s="1"/>
      <c r="B59" s="4" t="str">
        <f>CONCATENATE(B60,", ",G60,", ",K60," og ",O60)</f>
        <v>Afladnings strøm [A], Tid [h], Peukerts korrigerede amp. Ip og Total [Ah] tilgængelig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50"/>
      <c r="U59" s="1"/>
      <c r="V59" s="1"/>
      <c r="W59" s="1"/>
    </row>
    <row r="60" spans="1:23" ht="14.45" customHeight="1">
      <c r="A60" s="1"/>
      <c r="B60" s="180" t="str">
        <f>+B31</f>
        <v>Afladnings strøm [A]</v>
      </c>
      <c r="C60" s="181"/>
      <c r="D60" s="181"/>
      <c r="E60" s="202">
        <f>+E31</f>
        <v>20</v>
      </c>
      <c r="F60" s="203"/>
      <c r="G60" s="184" t="str">
        <f>+G31</f>
        <v>Tid [h]</v>
      </c>
      <c r="H60" s="185"/>
      <c r="I60" s="188">
        <f>+I31</f>
        <v>3.2987697769322355</v>
      </c>
      <c r="J60" s="189"/>
      <c r="K60" s="196" t="str">
        <f>+K31</f>
        <v>Peukerts korrigerede amp. Ip</v>
      </c>
      <c r="L60" s="197"/>
      <c r="M60" s="167">
        <f>+M31</f>
        <v>30.314331330207967</v>
      </c>
      <c r="N60" s="168"/>
      <c r="O60" s="171" t="str">
        <f>+O31</f>
        <v>Total [Ah] tilgængelig</v>
      </c>
      <c r="P60" s="172"/>
      <c r="Q60" s="175">
        <f>+Q31</f>
        <v>65.975395538644705</v>
      </c>
      <c r="R60" s="176"/>
      <c r="S60" s="1"/>
      <c r="T60" s="50"/>
      <c r="U60" s="1"/>
      <c r="V60" s="1"/>
      <c r="W60" s="1"/>
    </row>
    <row r="61" spans="1:23" ht="15" customHeight="1" thickBot="1">
      <c r="A61" s="1"/>
      <c r="B61" s="182"/>
      <c r="C61" s="183"/>
      <c r="D61" s="183"/>
      <c r="E61" s="204"/>
      <c r="F61" s="205"/>
      <c r="G61" s="186"/>
      <c r="H61" s="187"/>
      <c r="I61" s="190"/>
      <c r="J61" s="191"/>
      <c r="K61" s="198"/>
      <c r="L61" s="199"/>
      <c r="M61" s="169"/>
      <c r="N61" s="170"/>
      <c r="O61" s="173"/>
      <c r="P61" s="174"/>
      <c r="Q61" s="177"/>
      <c r="R61" s="178"/>
      <c r="S61" s="1"/>
      <c r="T61" s="50"/>
      <c r="U61" s="1"/>
      <c r="V61" s="1"/>
      <c r="W61" s="1"/>
    </row>
    <row r="62" spans="1:2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50"/>
      <c r="U62" s="1"/>
      <c r="V62" s="1"/>
      <c r="W62" s="1"/>
    </row>
    <row r="63" spans="1:2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50"/>
      <c r="U63" s="1"/>
      <c r="V63" s="1"/>
      <c r="W63" s="1"/>
    </row>
    <row r="64" spans="1:2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50"/>
      <c r="U64" s="1"/>
      <c r="V64" s="1"/>
      <c r="W64" s="1"/>
    </row>
    <row r="65" spans="1:2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50"/>
      <c r="U65" s="1"/>
      <c r="V65" s="1"/>
      <c r="W65" s="1"/>
    </row>
    <row r="66" spans="1:2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50"/>
      <c r="U66" s="1"/>
      <c r="V66" s="1"/>
      <c r="W66" s="1"/>
    </row>
    <row r="67" spans="1:2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50"/>
      <c r="U67" s="1"/>
      <c r="V67" s="1"/>
      <c r="W67" s="1"/>
    </row>
    <row r="68" spans="1:2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50"/>
      <c r="U68" s="1"/>
      <c r="V68" s="1"/>
      <c r="W68" s="1"/>
    </row>
    <row r="69" spans="1:2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50"/>
      <c r="U69" s="1"/>
      <c r="V69" s="1"/>
      <c r="W69" s="1"/>
    </row>
    <row r="70" spans="1:2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50"/>
      <c r="U70" s="1"/>
      <c r="V70" s="1"/>
      <c r="W70" s="1"/>
    </row>
    <row r="71" spans="1:2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50"/>
      <c r="U71" s="1"/>
      <c r="V71" s="1"/>
      <c r="W71" s="1"/>
    </row>
    <row r="72" spans="1:2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50"/>
      <c r="U72" s="1"/>
      <c r="V72" s="1"/>
      <c r="W72" s="1"/>
    </row>
    <row r="73" spans="1:2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50"/>
      <c r="U73" s="1"/>
      <c r="V73" s="1"/>
      <c r="W73" s="1"/>
    </row>
    <row r="74" spans="1:2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50"/>
      <c r="U74" s="1"/>
      <c r="V74" s="1"/>
      <c r="W74" s="1"/>
    </row>
    <row r="75" spans="1:2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50"/>
      <c r="U75" s="1"/>
      <c r="V75" s="1"/>
      <c r="W75" s="1"/>
    </row>
    <row r="76" spans="1:2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50"/>
      <c r="U76" s="1"/>
      <c r="V76" s="1"/>
      <c r="W76" s="1"/>
    </row>
    <row r="77" spans="1:2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50"/>
      <c r="U77" s="1"/>
      <c r="V77" s="1"/>
      <c r="W77" s="1"/>
    </row>
    <row r="78" spans="1:2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50"/>
      <c r="U78" s="1"/>
      <c r="V78" s="1"/>
      <c r="W78" s="1"/>
    </row>
    <row r="79" spans="1:2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50"/>
      <c r="U79" s="1"/>
      <c r="V79" s="1"/>
      <c r="W79" s="1"/>
    </row>
    <row r="80" spans="1:2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50"/>
      <c r="U80" s="1"/>
      <c r="V80" s="1"/>
      <c r="W80" s="1"/>
    </row>
    <row r="81" spans="1:2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50"/>
      <c r="U81" s="1"/>
      <c r="V81" s="1"/>
      <c r="W81" s="1"/>
    </row>
    <row r="82" spans="1:2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50"/>
      <c r="U82" s="1"/>
      <c r="V82" s="1"/>
      <c r="W82" s="1"/>
    </row>
    <row r="83" spans="1:2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50"/>
      <c r="U83" s="1"/>
      <c r="V83" s="1"/>
      <c r="W83" s="1"/>
    </row>
    <row r="84" spans="1:2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50"/>
      <c r="U84" s="1"/>
      <c r="V84" s="1"/>
      <c r="W84" s="1"/>
    </row>
    <row r="85" spans="1:2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50"/>
      <c r="U85" s="1"/>
      <c r="V85" s="1"/>
      <c r="W85" s="1"/>
    </row>
    <row r="86" spans="1:2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50"/>
      <c r="U86" s="1"/>
      <c r="V86" s="1"/>
      <c r="W86" s="1"/>
    </row>
    <row r="87" spans="1:2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50"/>
      <c r="U87" s="1"/>
      <c r="V87" s="1"/>
      <c r="W87" s="1"/>
    </row>
    <row r="88" spans="1:2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50"/>
      <c r="U88" s="1"/>
      <c r="V88" s="1"/>
      <c r="W88" s="1"/>
    </row>
    <row r="89" spans="1:23">
      <c r="A89" s="1"/>
      <c r="B89" s="1" t="s">
        <v>90</v>
      </c>
      <c r="C89" s="1"/>
      <c r="D89" s="1"/>
      <c r="E89" s="1"/>
      <c r="F89" s="1"/>
      <c r="G89" s="1"/>
      <c r="H89" s="150" t="s">
        <v>21</v>
      </c>
      <c r="I89" s="150"/>
      <c r="J89" s="150"/>
      <c r="K89" s="150"/>
      <c r="L89" s="150"/>
      <c r="M89" s="150"/>
      <c r="N89" s="150"/>
      <c r="O89" s="150"/>
      <c r="P89" s="1"/>
      <c r="Q89" s="1"/>
      <c r="R89" s="1"/>
      <c r="S89" s="1"/>
      <c r="T89" s="50"/>
      <c r="U89" s="1"/>
      <c r="V89" s="1"/>
      <c r="W89" s="1"/>
    </row>
    <row r="90" spans="1:23">
      <c r="A90" s="1"/>
      <c r="B90" s="81" t="s">
        <v>52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50"/>
      <c r="U90" s="1"/>
      <c r="V90" s="1"/>
      <c r="W90" s="1"/>
    </row>
    <row r="91" spans="1:23">
      <c r="A91" s="1"/>
      <c r="B91" s="81" t="s">
        <v>53</v>
      </c>
      <c r="C91" s="1"/>
      <c r="D91" s="1"/>
      <c r="E91" s="1"/>
      <c r="F91" s="1"/>
      <c r="G91" s="1"/>
      <c r="H91" s="141" t="s">
        <v>22</v>
      </c>
      <c r="I91" s="141"/>
      <c r="J91" s="141"/>
      <c r="K91" s="141"/>
      <c r="L91" s="141"/>
      <c r="M91" s="141"/>
      <c r="N91" s="141"/>
      <c r="O91" s="141"/>
      <c r="P91" s="1"/>
      <c r="Q91" s="1"/>
      <c r="R91" s="1"/>
      <c r="S91" s="1"/>
      <c r="T91" s="50"/>
      <c r="U91" s="1"/>
      <c r="V91" s="1"/>
      <c r="W91" s="1"/>
    </row>
    <row r="92" spans="1:23">
      <c r="A92" s="1"/>
      <c r="B92" s="81" t="s">
        <v>54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50"/>
      <c r="U92" s="1"/>
      <c r="V92" s="1"/>
      <c r="W92" s="1"/>
    </row>
    <row r="93" spans="1:23">
      <c r="A93" s="1"/>
      <c r="B93" s="81" t="s">
        <v>60</v>
      </c>
      <c r="C93" s="1"/>
      <c r="D93" s="1"/>
      <c r="E93" s="1"/>
      <c r="F93" s="1"/>
      <c r="G93" s="1"/>
      <c r="H93" s="142"/>
      <c r="I93" s="142"/>
      <c r="J93" s="142"/>
      <c r="K93" s="142"/>
      <c r="L93" s="142"/>
      <c r="M93" s="142"/>
      <c r="N93" s="142"/>
      <c r="O93" s="142"/>
      <c r="P93" s="1"/>
      <c r="Q93" s="1"/>
      <c r="R93" s="1"/>
      <c r="S93" s="1"/>
      <c r="T93" s="50"/>
      <c r="U93" s="1"/>
      <c r="V93" s="1"/>
      <c r="W93" s="1"/>
    </row>
    <row r="94" spans="1:23">
      <c r="A94" s="1"/>
      <c r="B94" s="81" t="s">
        <v>61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50"/>
      <c r="U94" s="1"/>
      <c r="V94" s="1"/>
      <c r="W94" s="1"/>
    </row>
    <row r="95" spans="1:23">
      <c r="A95" s="1"/>
      <c r="B95" s="81" t="s">
        <v>72</v>
      </c>
      <c r="C95" s="1"/>
      <c r="D95" s="1"/>
      <c r="E95" s="1"/>
      <c r="F95" s="1"/>
      <c r="G95" s="1"/>
      <c r="H95" s="143" t="s">
        <v>23</v>
      </c>
      <c r="I95" s="143"/>
      <c r="J95" s="143"/>
      <c r="K95" s="143"/>
      <c r="L95" s="143"/>
      <c r="M95" s="143"/>
      <c r="N95" s="143"/>
      <c r="O95" s="143"/>
      <c r="P95" s="1"/>
      <c r="Q95" s="1"/>
      <c r="R95" s="1"/>
      <c r="S95" s="1"/>
      <c r="T95" s="50"/>
      <c r="U95" s="1"/>
      <c r="V95" s="1"/>
      <c r="W95" s="1"/>
    </row>
    <row r="96" spans="1:23">
      <c r="A96" s="1"/>
      <c r="B96" s="81" t="s">
        <v>141</v>
      </c>
      <c r="C96" s="1"/>
      <c r="D96" s="1"/>
      <c r="E96" s="1"/>
      <c r="F96" s="1"/>
      <c r="G96" s="1"/>
      <c r="H96" s="1"/>
      <c r="I96" s="29"/>
      <c r="J96" s="29"/>
      <c r="K96" s="30"/>
      <c r="L96" s="1"/>
      <c r="M96" s="1"/>
      <c r="N96" s="1"/>
      <c r="O96" s="1"/>
      <c r="P96" s="1"/>
      <c r="Q96" s="1"/>
      <c r="R96" s="1"/>
      <c r="S96" s="1"/>
      <c r="T96" s="50"/>
      <c r="U96" s="1"/>
      <c r="V96" s="1"/>
      <c r="W96" s="1"/>
    </row>
    <row r="97" spans="1:23" ht="18.75">
      <c r="A97" s="1"/>
      <c r="B97" s="81" t="s">
        <v>142</v>
      </c>
      <c r="C97" s="1"/>
      <c r="D97" s="1"/>
      <c r="E97" s="1"/>
      <c r="F97" s="1"/>
      <c r="G97" s="1"/>
      <c r="H97" s="144" t="s">
        <v>24</v>
      </c>
      <c r="I97" s="144"/>
      <c r="J97" s="144"/>
      <c r="K97" s="144"/>
      <c r="L97" s="144"/>
      <c r="M97" s="144"/>
      <c r="N97" s="144"/>
      <c r="O97" s="144"/>
      <c r="P97" s="1"/>
      <c r="Q97" s="1"/>
      <c r="R97" s="1"/>
      <c r="S97" s="1"/>
      <c r="T97" s="50"/>
      <c r="U97" s="1"/>
      <c r="V97" s="1"/>
      <c r="W97" s="1"/>
    </row>
    <row r="98" spans="1:23">
      <c r="A98" s="1"/>
      <c r="B98" s="81"/>
      <c r="C98" s="1"/>
      <c r="D98" s="1"/>
      <c r="E98" s="1"/>
      <c r="F98" s="1"/>
      <c r="G98" s="1"/>
      <c r="H98" s="1"/>
      <c r="I98" s="29"/>
      <c r="J98" s="29"/>
      <c r="K98" s="30"/>
      <c r="L98" s="1"/>
      <c r="M98" s="1"/>
      <c r="N98" s="1"/>
      <c r="O98" s="1"/>
      <c r="P98" s="1"/>
      <c r="Q98" s="1"/>
      <c r="R98" s="1"/>
      <c r="S98" s="1"/>
      <c r="T98" s="50"/>
      <c r="U98" s="1"/>
      <c r="V98" s="1"/>
      <c r="W98" s="1"/>
    </row>
    <row r="99" spans="1:23" ht="18.75">
      <c r="A99" s="1"/>
      <c r="B99" s="1"/>
      <c r="C99" s="1"/>
      <c r="D99" s="1"/>
      <c r="E99" s="1"/>
      <c r="F99" s="1"/>
      <c r="G99" s="1"/>
      <c r="H99" s="1"/>
      <c r="I99" s="139"/>
      <c r="J99" s="139"/>
      <c r="K99" s="139"/>
      <c r="L99" s="139"/>
      <c r="M99" s="139"/>
      <c r="N99" s="139"/>
      <c r="O99" s="139"/>
      <c r="P99" s="1"/>
      <c r="Q99" s="1"/>
      <c r="R99" s="1"/>
      <c r="S99" s="1"/>
      <c r="T99" s="50"/>
      <c r="U99" s="1"/>
      <c r="V99" s="1"/>
      <c r="W99" s="1"/>
    </row>
    <row r="100" spans="1:23">
      <c r="A100" s="1"/>
      <c r="B100" s="9" t="s">
        <v>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50"/>
      <c r="U100" s="161" t="s">
        <v>89</v>
      </c>
      <c r="V100" s="161"/>
      <c r="W100" s="161"/>
    </row>
  </sheetData>
  <mergeCells count="53">
    <mergeCell ref="H97:O97"/>
    <mergeCell ref="M60:N61"/>
    <mergeCell ref="O60:P61"/>
    <mergeCell ref="Q60:R61"/>
    <mergeCell ref="B60:D61"/>
    <mergeCell ref="E60:F61"/>
    <mergeCell ref="G60:H61"/>
    <mergeCell ref="I60:J61"/>
    <mergeCell ref="K60:L61"/>
    <mergeCell ref="M31:N32"/>
    <mergeCell ref="O31:P32"/>
    <mergeCell ref="Q31:R32"/>
    <mergeCell ref="L7:O7"/>
    <mergeCell ref="B31:D32"/>
    <mergeCell ref="G31:H32"/>
    <mergeCell ref="I31:J32"/>
    <mergeCell ref="E31:F32"/>
    <mergeCell ref="K31:L32"/>
    <mergeCell ref="P18:Q18"/>
    <mergeCell ref="B28:D28"/>
    <mergeCell ref="N19:Q19"/>
    <mergeCell ref="J20:K20"/>
    <mergeCell ref="K18:L18"/>
    <mergeCell ref="B19:I19"/>
    <mergeCell ref="B25:Q25"/>
    <mergeCell ref="U100:W100"/>
    <mergeCell ref="B1:S1"/>
    <mergeCell ref="H89:O89"/>
    <mergeCell ref="H91:O91"/>
    <mergeCell ref="H93:O93"/>
    <mergeCell ref="H95:O95"/>
    <mergeCell ref="B26:D26"/>
    <mergeCell ref="B27:D27"/>
    <mergeCell ref="B29:D29"/>
    <mergeCell ref="C14:E14"/>
    <mergeCell ref="K14:M14"/>
    <mergeCell ref="B20:C20"/>
    <mergeCell ref="N20:O20"/>
    <mergeCell ref="F20:G20"/>
    <mergeCell ref="B18:G18"/>
    <mergeCell ref="N24:O24"/>
    <mergeCell ref="J19:M19"/>
    <mergeCell ref="B24:C24"/>
    <mergeCell ref="F24:G24"/>
    <mergeCell ref="J24:K24"/>
    <mergeCell ref="C16:E16"/>
    <mergeCell ref="K16:M16"/>
    <mergeCell ref="N23:Q23"/>
    <mergeCell ref="B22:G22"/>
    <mergeCell ref="K22:L22"/>
    <mergeCell ref="P22:Q22"/>
    <mergeCell ref="J23:M23"/>
    <mergeCell ref="B23:I23"/>
  </mergeCells>
  <dataValidations count="3">
    <dataValidation type="whole" allowBlank="1" showErrorMessage="1" errorTitle="Discharge rating error" error="The discharge rating must be between 1 hours and 100 hours." sqref="P10:P11">
      <formula1>1</formula1>
      <formula2>100</formula2>
    </dataValidation>
    <dataValidation type="whole" allowBlank="1" showErrorMessage="1" errorTitle="Battery capacity error" error="The battery capacity must be between 20Ahrs and 10,000Ahrs" sqref="P9">
      <formula1>20</formula1>
      <formula2>10000</formula2>
    </dataValidation>
    <dataValidation type="decimal" allowBlank="1" showErrorMessage="1" errorTitle="Peukert's Exponent error" error="Peukert's Exponent must be between 1.0 and 1.6" sqref="P8">
      <formula1>1</formula1>
      <formula2>1.6</formula2>
    </dataValidation>
  </dataValidations>
  <hyperlinks>
    <hyperlink ref="H95" r:id="rId1"/>
    <hyperlink ref="B90" r:id="rId2"/>
    <hyperlink ref="B91" r:id="rId3"/>
    <hyperlink ref="B92" r:id="rId4"/>
    <hyperlink ref="B93" r:id="rId5"/>
    <hyperlink ref="B94" r:id="rId6"/>
    <hyperlink ref="B95" r:id="rId7"/>
    <hyperlink ref="B96" r:id="rId8"/>
    <hyperlink ref="B97" r:id="rId9"/>
  </hyperlinks>
  <pageMargins left="0.7" right="0.7" top="0.75" bottom="0.75" header="0.3" footer="0.3"/>
  <pageSetup paperSize="9" orientation="portrait" r:id="rId10"/>
  <drawing r:id="rId11"/>
  <legacyDrawing r:id="rId12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6"/>
  <dimension ref="A1:W50"/>
  <sheetViews>
    <sheetView workbookViewId="0"/>
  </sheetViews>
  <sheetFormatPr defaultColWidth="8.85546875" defaultRowHeight="15"/>
  <cols>
    <col min="1" max="1" width="1.7109375" style="94" customWidth="1"/>
    <col min="2" max="2" width="25.7109375" style="94" customWidth="1"/>
    <col min="3" max="4" width="8.85546875" style="94" customWidth="1"/>
    <col min="5" max="5" width="8.85546875" style="94"/>
    <col min="6" max="6" width="11.28515625" style="94" bestFit="1" customWidth="1"/>
    <col min="7" max="7" width="6.42578125" style="94" bestFit="1" customWidth="1"/>
    <col min="8" max="8" width="8.85546875" style="94" customWidth="1"/>
    <col min="9" max="10" width="5.7109375" style="94" customWidth="1"/>
    <col min="11" max="11" width="20" style="94" bestFit="1" customWidth="1"/>
    <col min="12" max="12" width="9.85546875" style="94" customWidth="1"/>
    <col min="13" max="13" width="5.28515625" style="94" bestFit="1" customWidth="1"/>
    <col min="14" max="14" width="12.42578125" style="94" bestFit="1" customWidth="1"/>
    <col min="15" max="15" width="9" style="94" customWidth="1"/>
    <col min="16" max="16" width="4.7109375" style="94" bestFit="1" customWidth="1"/>
    <col min="17" max="16384" width="8.85546875" style="94"/>
  </cols>
  <sheetData>
    <row r="1" spans="1:23" ht="18.75">
      <c r="A1" s="62"/>
      <c r="B1" s="206" t="s">
        <v>113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62"/>
      <c r="W1" s="62"/>
    </row>
    <row r="2" spans="1:23">
      <c r="A2" s="62"/>
      <c r="B2" s="1" t="s">
        <v>64</v>
      </c>
      <c r="C2" s="62"/>
      <c r="D2" s="62"/>
      <c r="E2" s="8" t="s">
        <v>70</v>
      </c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3">
      <c r="A3" s="62"/>
      <c r="B3" s="82" t="s">
        <v>55</v>
      </c>
      <c r="C3" s="62"/>
      <c r="D3" s="62"/>
      <c r="E3" s="112" t="s">
        <v>81</v>
      </c>
      <c r="F3" s="62"/>
      <c r="G3" s="62"/>
      <c r="H3" s="54" t="s">
        <v>82</v>
      </c>
      <c r="I3" s="62"/>
      <c r="J3" s="62"/>
      <c r="K3" s="62"/>
      <c r="L3" s="179" t="s">
        <v>91</v>
      </c>
      <c r="M3" s="179"/>
      <c r="N3" s="179"/>
      <c r="O3" s="179"/>
      <c r="P3" s="62"/>
      <c r="Q3" s="62"/>
      <c r="R3" s="62"/>
      <c r="S3" s="62"/>
      <c r="T3" s="62"/>
      <c r="U3" s="62"/>
      <c r="V3" s="62"/>
      <c r="W3" s="62"/>
    </row>
    <row r="4" spans="1:23">
      <c r="A4" s="62"/>
      <c r="B4" s="83" t="s">
        <v>57</v>
      </c>
      <c r="C4" s="62"/>
      <c r="D4" s="62"/>
      <c r="E4" s="56" t="s">
        <v>83</v>
      </c>
      <c r="F4" s="62"/>
      <c r="G4" s="62"/>
      <c r="H4" s="54" t="s">
        <v>84</v>
      </c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</row>
    <row r="5" spans="1:23">
      <c r="A5" s="62"/>
      <c r="B5" s="84" t="s">
        <v>58</v>
      </c>
      <c r="C5" s="62"/>
      <c r="D5" s="62"/>
      <c r="E5" s="59" t="s">
        <v>85</v>
      </c>
      <c r="F5" s="62"/>
      <c r="G5" s="62"/>
      <c r="H5" s="54" t="s">
        <v>86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>
      <c r="A6" s="62"/>
      <c r="B6" s="1" t="s">
        <v>56</v>
      </c>
      <c r="C6" s="62"/>
      <c r="D6" s="62"/>
      <c r="E6" s="59" t="s">
        <v>87</v>
      </c>
      <c r="F6" s="62"/>
      <c r="G6" s="62"/>
      <c r="H6" s="54" t="s">
        <v>88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</row>
    <row r="7" spans="1:23">
      <c r="A7" s="62"/>
      <c r="B7" s="1" t="s">
        <v>106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213" t="s">
        <v>156</v>
      </c>
      <c r="S7" s="154"/>
      <c r="T7" s="62"/>
      <c r="U7" s="62"/>
      <c r="V7" s="62"/>
      <c r="W7" s="62"/>
    </row>
    <row r="8" spans="1:23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24" t="s">
        <v>152</v>
      </c>
      <c r="S8" s="24" t="s">
        <v>153</v>
      </c>
      <c r="T8" s="62"/>
      <c r="U8" s="62"/>
      <c r="V8" s="62"/>
      <c r="W8" s="62"/>
    </row>
    <row r="9" spans="1:23" ht="18">
      <c r="A9" s="62"/>
      <c r="B9" s="59" t="s">
        <v>107</v>
      </c>
      <c r="C9" s="95">
        <f>+Info!H20</f>
        <v>20</v>
      </c>
      <c r="D9" s="97" t="s">
        <v>59</v>
      </c>
      <c r="E9" s="62"/>
      <c r="F9" s="98" t="s">
        <v>92</v>
      </c>
      <c r="G9" s="95">
        <f>+Info!D20</f>
        <v>100</v>
      </c>
      <c r="H9" s="114" t="s">
        <v>94</v>
      </c>
      <c r="I9" s="99">
        <f>+Info!P20</f>
        <v>5</v>
      </c>
      <c r="J9" s="114" t="s">
        <v>133</v>
      </c>
      <c r="K9" s="1" t="s">
        <v>110</v>
      </c>
      <c r="L9" s="96">
        <f>($G$9*($G$9/$C$9)^($F$13-1))/$I$9^$F$13</f>
        <v>20</v>
      </c>
      <c r="M9" s="100" t="s">
        <v>59</v>
      </c>
      <c r="N9" s="1" t="s">
        <v>98</v>
      </c>
      <c r="O9" s="101">
        <f>+I9</f>
        <v>5</v>
      </c>
      <c r="P9" s="114" t="str">
        <f>+J9</f>
        <v>[A]</v>
      </c>
      <c r="Q9" s="62"/>
      <c r="R9" s="140">
        <v>20</v>
      </c>
      <c r="S9" s="140">
        <v>12</v>
      </c>
      <c r="T9" s="62"/>
      <c r="U9" s="62"/>
      <c r="V9" s="62"/>
      <c r="W9" s="62"/>
    </row>
    <row r="10" spans="1:23">
      <c r="A10" s="62"/>
      <c r="B10" s="98"/>
      <c r="C10" s="98"/>
      <c r="D10" s="97"/>
      <c r="E10" s="62"/>
      <c r="F10" s="98"/>
      <c r="G10" s="98"/>
      <c r="H10" s="97"/>
      <c r="I10" s="97"/>
      <c r="J10" s="97"/>
      <c r="K10" s="62"/>
      <c r="L10" s="96"/>
      <c r="M10" s="98"/>
      <c r="N10" s="62"/>
      <c r="O10" s="101"/>
      <c r="P10" s="97"/>
      <c r="Q10" s="62"/>
      <c r="R10" s="24" t="s">
        <v>154</v>
      </c>
      <c r="S10" s="24" t="s">
        <v>155</v>
      </c>
      <c r="T10" s="62"/>
      <c r="U10" s="62"/>
      <c r="V10" s="62"/>
      <c r="W10" s="62"/>
    </row>
    <row r="11" spans="1:23" ht="15.75">
      <c r="A11" s="62"/>
      <c r="B11" s="59" t="s">
        <v>108</v>
      </c>
      <c r="C11" s="95">
        <f>+Info!H24</f>
        <v>3.2987697769322351</v>
      </c>
      <c r="D11" s="97" t="s">
        <v>59</v>
      </c>
      <c r="E11" s="62"/>
      <c r="F11" s="98" t="s">
        <v>93</v>
      </c>
      <c r="G11" s="95">
        <f>+Info!D24</f>
        <v>65.975395538644705</v>
      </c>
      <c r="H11" s="114" t="s">
        <v>94</v>
      </c>
      <c r="I11" s="99">
        <f>+Info!P24</f>
        <v>20</v>
      </c>
      <c r="J11" s="114" t="str">
        <f>+J9</f>
        <v>[A]</v>
      </c>
      <c r="K11" s="1" t="s">
        <v>111</v>
      </c>
      <c r="L11" s="96">
        <f>($G$9*($G$9/$C$9)^($F$13-1))/$I$11^$F$13</f>
        <v>3.2987697769322351</v>
      </c>
      <c r="M11" s="100" t="s">
        <v>59</v>
      </c>
      <c r="N11" s="1" t="s">
        <v>98</v>
      </c>
      <c r="O11" s="101">
        <f>+I11</f>
        <v>20</v>
      </c>
      <c r="P11" s="114" t="str">
        <f>+P9</f>
        <v>[A]</v>
      </c>
      <c r="Q11" s="62"/>
      <c r="R11" s="140">
        <v>10.3</v>
      </c>
      <c r="S11" s="140">
        <v>10.3</v>
      </c>
      <c r="T11" s="62"/>
      <c r="U11" s="62"/>
      <c r="V11" s="62"/>
      <c r="W11" s="62"/>
    </row>
    <row r="12" spans="1:23">
      <c r="A12" s="62"/>
      <c r="B12" s="98"/>
      <c r="C12" s="98"/>
      <c r="D12" s="98"/>
      <c r="E12" s="98"/>
      <c r="F12" s="98"/>
      <c r="G12" s="98"/>
      <c r="H12" s="98"/>
      <c r="I12" s="98"/>
      <c r="J12" s="98"/>
      <c r="K12" s="100"/>
      <c r="L12" s="98"/>
      <c r="M12" s="100"/>
      <c r="N12" s="62"/>
      <c r="O12" s="62"/>
      <c r="P12" s="62"/>
      <c r="Q12" s="62"/>
      <c r="R12" s="62"/>
      <c r="S12" s="62"/>
      <c r="T12" s="62"/>
      <c r="U12" s="62"/>
      <c r="V12" s="62"/>
      <c r="W12" s="62"/>
    </row>
    <row r="13" spans="1:23" ht="18.75" thickBot="1">
      <c r="A13" s="62"/>
      <c r="B13" s="210" t="s">
        <v>109</v>
      </c>
      <c r="C13" s="208" t="s">
        <v>96</v>
      </c>
      <c r="D13" s="208"/>
      <c r="E13" s="208"/>
      <c r="F13" s="212">
        <f>((LOG10(C11))-(LOG10(C9)))/((LOG10(G9/C9))-(LOG10(G11/C11)))</f>
        <v>1.3</v>
      </c>
      <c r="G13" s="62"/>
      <c r="H13" s="98"/>
      <c r="I13" s="98"/>
      <c r="J13" s="98"/>
      <c r="K13" s="210" t="s">
        <v>109</v>
      </c>
      <c r="L13" s="210"/>
      <c r="M13" s="98"/>
      <c r="N13" s="214">
        <f>((LOG10(R11))-(LOG10(R9)))/((LOG10(S9/R9))-(LOG10(S11/R11)))</f>
        <v>1.2990506886208804</v>
      </c>
      <c r="O13" s="215" t="s">
        <v>157</v>
      </c>
      <c r="P13" s="216"/>
      <c r="Q13" s="216"/>
      <c r="R13" s="62"/>
      <c r="S13" s="62"/>
      <c r="T13" s="62"/>
      <c r="U13" s="62"/>
      <c r="V13" s="62"/>
      <c r="W13" s="62"/>
    </row>
    <row r="14" spans="1:23" ht="18">
      <c r="A14" s="62"/>
      <c r="B14" s="211"/>
      <c r="C14" s="209" t="s">
        <v>97</v>
      </c>
      <c r="D14" s="209"/>
      <c r="E14" s="209"/>
      <c r="F14" s="212"/>
      <c r="G14" s="62"/>
      <c r="H14" s="98"/>
      <c r="I14" s="98"/>
      <c r="J14" s="98"/>
      <c r="K14" s="210"/>
      <c r="L14" s="210"/>
      <c r="M14" s="100"/>
      <c r="N14" s="214"/>
      <c r="O14" s="216"/>
      <c r="P14" s="216"/>
      <c r="Q14" s="216"/>
      <c r="R14" s="62"/>
      <c r="S14" s="62"/>
      <c r="T14" s="62"/>
      <c r="U14" s="62"/>
      <c r="V14" s="62"/>
      <c r="W14" s="62"/>
    </row>
    <row r="15" spans="1:23">
      <c r="A15" s="62"/>
      <c r="B15" s="98"/>
      <c r="C15" s="98"/>
      <c r="D15" s="98"/>
      <c r="E15" s="98"/>
      <c r="F15" s="98"/>
      <c r="G15" s="62"/>
      <c r="H15" s="98"/>
      <c r="I15" s="98"/>
      <c r="J15" s="98"/>
      <c r="K15" s="98"/>
      <c r="L15" s="98"/>
      <c r="M15" s="98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1:23">
      <c r="A16" s="62"/>
      <c r="B16" s="1" t="s">
        <v>134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</row>
    <row r="17" spans="1:23">
      <c r="A17" s="62"/>
      <c r="B17" s="1" t="s">
        <v>135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</row>
    <row r="18" spans="1:23">
      <c r="A18" s="62"/>
      <c r="B18" s="1" t="s">
        <v>147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</row>
    <row r="19" spans="1:23">
      <c r="A19" s="62"/>
      <c r="B19" s="1" t="s">
        <v>148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</row>
    <row r="20" spans="1:23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</row>
    <row r="21" spans="1:23">
      <c r="A21" s="62"/>
      <c r="B21" s="8" t="s">
        <v>149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</row>
    <row r="22" spans="1:23">
      <c r="A22" s="62"/>
      <c r="B22" s="8" t="s">
        <v>150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</row>
    <row r="23" spans="1:23">
      <c r="A23" s="62"/>
      <c r="B23" s="1" t="s">
        <v>112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</row>
    <row r="25" spans="1:23">
      <c r="A25" s="62"/>
      <c r="B25" s="8" t="s">
        <v>146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1" t="s">
        <v>132</v>
      </c>
      <c r="Q25" s="102">
        <f>+Info!P20</f>
        <v>5</v>
      </c>
      <c r="R25" s="103" t="str">
        <f>+P9</f>
        <v>[A]</v>
      </c>
      <c r="S25" s="62"/>
      <c r="T25" s="62"/>
      <c r="U25" s="62"/>
      <c r="V25" s="62"/>
      <c r="W25" s="62"/>
    </row>
    <row r="26" spans="1:23">
      <c r="A26" s="62"/>
      <c r="B26" s="1" t="s">
        <v>128</v>
      </c>
      <c r="C26" s="62"/>
      <c r="D26" s="62"/>
      <c r="E26" s="62"/>
      <c r="F26" s="62"/>
      <c r="G26" s="104"/>
      <c r="H26" s="62"/>
      <c r="I26" s="62"/>
      <c r="J26" s="62"/>
      <c r="K26" s="1"/>
      <c r="L26" s="62"/>
      <c r="M26" s="62"/>
      <c r="N26" s="62"/>
      <c r="O26" s="62"/>
      <c r="P26" s="1" t="s">
        <v>131</v>
      </c>
      <c r="Q26" s="102">
        <f>+Info!M31</f>
        <v>30.314331330207967</v>
      </c>
      <c r="R26" s="103" t="str">
        <f>+R25</f>
        <v>[A]</v>
      </c>
      <c r="S26" s="62"/>
      <c r="T26" s="62"/>
      <c r="U26" s="62"/>
      <c r="V26" s="62"/>
      <c r="W26" s="62"/>
    </row>
    <row r="27" spans="1:23">
      <c r="A27" s="62"/>
      <c r="B27" s="8" t="s">
        <v>125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</row>
    <row r="28" spans="1:23">
      <c r="A28" s="62"/>
      <c r="B28" s="1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</row>
    <row r="29" spans="1:23">
      <c r="A29" s="62"/>
      <c r="B29" s="8" t="s">
        <v>126</v>
      </c>
      <c r="C29" s="62"/>
      <c r="D29" s="207">
        <f>C9*I9</f>
        <v>100</v>
      </c>
      <c r="E29" s="207"/>
      <c r="F29" s="111" t="s">
        <v>65</v>
      </c>
      <c r="G29" s="62"/>
      <c r="H29" s="8" t="s">
        <v>127</v>
      </c>
      <c r="I29" s="62"/>
      <c r="J29" s="62"/>
      <c r="K29" s="62"/>
      <c r="L29" s="62"/>
      <c r="M29" s="62"/>
      <c r="N29" s="113">
        <f>C11*Q26</f>
        <v>100</v>
      </c>
      <c r="O29" s="111" t="s">
        <v>65</v>
      </c>
      <c r="P29" s="62"/>
      <c r="Q29" s="62"/>
      <c r="R29" s="62"/>
      <c r="S29" s="62"/>
      <c r="T29" s="62"/>
      <c r="U29" s="62"/>
      <c r="V29" s="62"/>
      <c r="W29" s="62"/>
    </row>
    <row r="30" spans="1:23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</row>
    <row r="31" spans="1:23" ht="14.45" customHeight="1">
      <c r="A31" s="62"/>
      <c r="B31" s="8" t="s">
        <v>151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105"/>
      <c r="P31" s="105"/>
      <c r="Q31" s="105"/>
      <c r="R31" s="105"/>
      <c r="S31" s="105"/>
      <c r="T31" s="62"/>
      <c r="U31" s="62"/>
      <c r="V31" s="62"/>
      <c r="W31" s="62"/>
    </row>
    <row r="32" spans="1:23" ht="15" customHeight="1">
      <c r="A32" s="62"/>
      <c r="B32" s="8" t="s">
        <v>145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05"/>
      <c r="P32" s="105"/>
      <c r="Q32" s="105"/>
      <c r="R32" s="105"/>
      <c r="S32" s="105"/>
      <c r="T32" s="62"/>
      <c r="U32" s="62"/>
      <c r="V32" s="62"/>
      <c r="W32" s="62"/>
    </row>
    <row r="33" spans="1:23">
      <c r="A33" s="62"/>
      <c r="B33" s="8" t="s">
        <v>159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>
      <c r="A34" s="62"/>
      <c r="B34" s="62"/>
      <c r="C34" s="62"/>
      <c r="D34" s="62"/>
      <c r="E34" s="62"/>
      <c r="F34" s="7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</row>
    <row r="35" spans="1:23">
      <c r="A35" s="62"/>
      <c r="B35" s="1" t="s">
        <v>104</v>
      </c>
      <c r="C35" s="62"/>
      <c r="D35" s="62"/>
      <c r="E35" s="62"/>
      <c r="F35" s="7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</row>
    <row r="36" spans="1:23">
      <c r="A36" s="62"/>
      <c r="B36" s="1" t="s">
        <v>129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</row>
    <row r="37" spans="1:23">
      <c r="A37" s="62"/>
      <c r="B37" s="1" t="s">
        <v>130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</row>
    <row r="38" spans="1:23">
      <c r="A38" s="62"/>
      <c r="B38" s="1" t="s">
        <v>105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</row>
    <row r="39" spans="1:23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</row>
    <row r="40" spans="1:23">
      <c r="A40" s="62"/>
      <c r="B40" s="62"/>
      <c r="C40" s="62"/>
      <c r="D40" s="62"/>
      <c r="E40" s="62"/>
      <c r="F40" s="150" t="s">
        <v>21</v>
      </c>
      <c r="G40" s="150"/>
      <c r="H40" s="150"/>
      <c r="I40" s="150"/>
      <c r="J40" s="150"/>
      <c r="K40" s="150"/>
      <c r="L40" s="150"/>
      <c r="M40" s="150"/>
      <c r="N40" s="62"/>
      <c r="O40" s="62"/>
      <c r="P40" s="62"/>
      <c r="Q40" s="62"/>
      <c r="R40" s="62"/>
      <c r="S40" s="62"/>
      <c r="T40" s="62"/>
      <c r="U40" s="62"/>
      <c r="V40" s="62"/>
      <c r="W40" s="62"/>
    </row>
    <row r="41" spans="1:23">
      <c r="A41" s="62"/>
      <c r="B41" s="62"/>
      <c r="C41" s="62"/>
      <c r="D41" s="62"/>
      <c r="E41" s="62"/>
      <c r="F41" s="1"/>
      <c r="G41" s="1"/>
      <c r="H41" s="1"/>
      <c r="I41" s="1"/>
      <c r="J41" s="1"/>
      <c r="K41" s="1"/>
      <c r="L41" s="1"/>
      <c r="M41" s="1"/>
      <c r="N41" s="62"/>
      <c r="O41" s="62"/>
      <c r="P41" s="62"/>
      <c r="Q41" s="62"/>
      <c r="R41" s="62"/>
      <c r="S41" s="62"/>
      <c r="T41" s="62"/>
      <c r="U41" s="62"/>
      <c r="V41" s="62"/>
      <c r="W41" s="62"/>
    </row>
    <row r="42" spans="1:23">
      <c r="A42" s="62"/>
      <c r="B42" s="62"/>
      <c r="C42" s="62"/>
      <c r="D42" s="62"/>
      <c r="E42" s="62"/>
      <c r="F42" s="141" t="s">
        <v>22</v>
      </c>
      <c r="G42" s="141"/>
      <c r="H42" s="141"/>
      <c r="I42" s="141"/>
      <c r="J42" s="141"/>
      <c r="K42" s="141"/>
      <c r="L42" s="141"/>
      <c r="M42" s="141"/>
      <c r="N42" s="62"/>
      <c r="O42" s="62"/>
      <c r="P42" s="62"/>
      <c r="Q42" s="62"/>
      <c r="R42" s="62"/>
      <c r="S42" s="62"/>
      <c r="T42" s="62"/>
      <c r="U42" s="62"/>
      <c r="V42" s="62"/>
      <c r="W42" s="62"/>
    </row>
    <row r="43" spans="1:23">
      <c r="A43" s="62"/>
      <c r="B43" s="62"/>
      <c r="C43" s="62"/>
      <c r="D43" s="62"/>
      <c r="E43" s="62"/>
      <c r="F43" s="1"/>
      <c r="G43" s="1"/>
      <c r="H43" s="1"/>
      <c r="I43" s="1"/>
      <c r="J43" s="1"/>
      <c r="K43" s="1"/>
      <c r="L43" s="1"/>
      <c r="M43" s="1"/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>
      <c r="A44" s="62"/>
      <c r="B44" s="62"/>
      <c r="C44" s="62"/>
      <c r="D44" s="62"/>
      <c r="E44" s="62"/>
      <c r="F44" s="142"/>
      <c r="G44" s="142"/>
      <c r="H44" s="142"/>
      <c r="I44" s="142"/>
      <c r="J44" s="142"/>
      <c r="K44" s="142"/>
      <c r="L44" s="142"/>
      <c r="M44" s="142"/>
      <c r="N44" s="62"/>
      <c r="O44" s="62"/>
      <c r="P44" s="62"/>
      <c r="Q44" s="62"/>
      <c r="R44" s="62"/>
      <c r="S44" s="62"/>
      <c r="T44" s="62"/>
      <c r="U44" s="62"/>
      <c r="V44" s="62"/>
      <c r="W44" s="62"/>
    </row>
    <row r="45" spans="1:23">
      <c r="A45" s="62"/>
      <c r="B45" s="62"/>
      <c r="C45" s="62"/>
      <c r="D45" s="62"/>
      <c r="E45" s="62"/>
      <c r="F45" s="1"/>
      <c r="G45" s="1"/>
      <c r="H45" s="1"/>
      <c r="I45" s="1"/>
      <c r="J45" s="1"/>
      <c r="K45" s="1"/>
      <c r="L45" s="1"/>
      <c r="M45" s="1"/>
      <c r="N45" s="62"/>
      <c r="O45" s="62"/>
      <c r="P45" s="62"/>
      <c r="Q45" s="62"/>
      <c r="R45" s="62"/>
      <c r="S45" s="62"/>
      <c r="T45" s="62"/>
      <c r="U45" s="62"/>
      <c r="V45" s="62"/>
      <c r="W45" s="62"/>
    </row>
    <row r="46" spans="1:23">
      <c r="A46" s="62"/>
      <c r="B46" s="62"/>
      <c r="C46" s="62"/>
      <c r="D46" s="62"/>
      <c r="E46" s="62"/>
      <c r="F46" s="143" t="s">
        <v>23</v>
      </c>
      <c r="G46" s="143"/>
      <c r="H46" s="143"/>
      <c r="I46" s="143"/>
      <c r="J46" s="143"/>
      <c r="K46" s="143"/>
      <c r="L46" s="143"/>
      <c r="M46" s="143"/>
      <c r="N46" s="62"/>
      <c r="O46" s="62"/>
      <c r="P46" s="62"/>
      <c r="Q46" s="62"/>
      <c r="R46" s="62"/>
      <c r="S46" s="62"/>
      <c r="T46" s="62"/>
      <c r="U46" s="62"/>
      <c r="V46" s="62"/>
      <c r="W46" s="62"/>
    </row>
    <row r="47" spans="1:23">
      <c r="A47" s="62"/>
      <c r="B47" s="62"/>
      <c r="C47" s="62"/>
      <c r="D47" s="62"/>
      <c r="E47" s="62"/>
      <c r="F47" s="1"/>
      <c r="G47" s="29"/>
      <c r="H47" s="29"/>
      <c r="I47" s="30"/>
      <c r="J47" s="1"/>
      <c r="K47" s="1"/>
      <c r="L47" s="1"/>
      <c r="M47" s="1"/>
      <c r="N47" s="62"/>
      <c r="O47" s="62"/>
      <c r="P47" s="62"/>
      <c r="Q47" s="62"/>
      <c r="R47" s="62"/>
      <c r="S47" s="62"/>
      <c r="T47" s="62"/>
      <c r="U47" s="62"/>
      <c r="V47" s="62"/>
      <c r="W47" s="62"/>
    </row>
    <row r="48" spans="1:23" ht="18.75">
      <c r="A48" s="62"/>
      <c r="B48" s="62"/>
      <c r="C48" s="62"/>
      <c r="D48" s="62"/>
      <c r="E48" s="62"/>
      <c r="F48" s="144" t="s">
        <v>24</v>
      </c>
      <c r="G48" s="144"/>
      <c r="H48" s="144"/>
      <c r="I48" s="144"/>
      <c r="J48" s="144"/>
      <c r="K48" s="144"/>
      <c r="L48" s="144"/>
      <c r="M48" s="144"/>
      <c r="N48" s="62"/>
      <c r="O48" s="62"/>
      <c r="P48" s="62"/>
      <c r="Q48" s="62"/>
      <c r="R48" s="62"/>
      <c r="S48" s="62"/>
      <c r="T48" s="62"/>
      <c r="U48" s="62"/>
      <c r="V48" s="62"/>
      <c r="W48" s="62"/>
    </row>
    <row r="49" spans="1:23" ht="18.75">
      <c r="A49" s="62"/>
      <c r="B49" s="62"/>
      <c r="C49" s="62"/>
      <c r="D49" s="62"/>
      <c r="E49" s="62"/>
      <c r="F49" s="110"/>
      <c r="G49" s="110"/>
      <c r="H49" s="110"/>
      <c r="I49" s="110"/>
      <c r="J49" s="110"/>
      <c r="K49" s="110"/>
      <c r="L49" s="110"/>
      <c r="M49" s="110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>
      <c r="A50" s="62"/>
      <c r="B50" s="9" t="s">
        <v>7</v>
      </c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161" t="s">
        <v>89</v>
      </c>
      <c r="V50" s="161"/>
      <c r="W50" s="161"/>
    </row>
  </sheetData>
  <mergeCells count="17">
    <mergeCell ref="O13:Q14"/>
    <mergeCell ref="F48:M48"/>
    <mergeCell ref="U50:W50"/>
    <mergeCell ref="L3:O3"/>
    <mergeCell ref="B1:U1"/>
    <mergeCell ref="F40:M40"/>
    <mergeCell ref="F42:M42"/>
    <mergeCell ref="F44:M44"/>
    <mergeCell ref="F46:M46"/>
    <mergeCell ref="D29:E29"/>
    <mergeCell ref="C13:E13"/>
    <mergeCell ref="C14:E14"/>
    <mergeCell ref="B13:B14"/>
    <mergeCell ref="F13:F14"/>
    <mergeCell ref="R7:S7"/>
    <mergeCell ref="K13:L14"/>
    <mergeCell ref="N13:N14"/>
  </mergeCells>
  <hyperlinks>
    <hyperlink ref="F46" r:id="rId1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Vægtfylde</vt:lpstr>
      <vt:lpstr>Kapacitet</vt:lpstr>
      <vt:lpstr>Ladespænding</vt:lpstr>
      <vt:lpstr>Cellespænding</vt:lpstr>
      <vt:lpstr>Info</vt:lpstr>
      <vt:lpstr>Log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Walter</dc:creator>
  <cp:lastModifiedBy>Walter</cp:lastModifiedBy>
  <dcterms:created xsi:type="dcterms:W3CDTF">2015-06-11T07:44:23Z</dcterms:created>
  <dcterms:modified xsi:type="dcterms:W3CDTF">2018-11-06T14:59:37Z</dcterms:modified>
</cp:coreProperties>
</file>