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355" windowHeight="7425" activeTab="2"/>
  </bookViews>
  <sheets>
    <sheet name="Salt" sheetId="2" r:id="rId1"/>
    <sheet name="Salometer" sheetId="8" r:id="rId2"/>
    <sheet name="Ligevægt" sheetId="9" r:id="rId3"/>
    <sheet name="Tabel" sheetId="11" r:id="rId4"/>
    <sheet name="Lage" sheetId="12" r:id="rId5"/>
  </sheets>
  <definedNames>
    <definedName name="OLE_LINK1" localSheetId="3">Tabel!$B$3</definedName>
    <definedName name="_xlnm.Print_Area" localSheetId="0">Salt!$A$1:$J$27</definedName>
  </definedNames>
  <calcPr calcId="125725"/>
</workbook>
</file>

<file path=xl/calcChain.xml><?xml version="1.0" encoding="utf-8"?>
<calcChain xmlns="http://schemas.openxmlformats.org/spreadsheetml/2006/main">
  <c r="S51" i="2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1"/>
  <c r="S32"/>
  <c r="R31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E44" i="12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7"/>
  <c r="E16"/>
  <c r="E15"/>
  <c r="E14"/>
  <c r="E13"/>
  <c r="E12"/>
  <c r="E11"/>
  <c r="A8" s="1"/>
  <c r="E10"/>
  <c r="B10"/>
  <c r="E9"/>
  <c r="E8"/>
  <c r="C6" i="2"/>
  <c r="O42"/>
  <c r="AC47" l="1"/>
  <c r="AF34"/>
  <c r="AB32"/>
  <c r="AC46" l="1"/>
  <c r="M30"/>
  <c r="V30"/>
  <c r="Y32"/>
  <c r="E37" i="9"/>
  <c r="B31" s="1"/>
  <c r="M33" i="2" l="1"/>
  <c r="AA30" s="1"/>
  <c r="AB34" s="1"/>
  <c r="AA36" s="1"/>
  <c r="X36" s="1"/>
  <c r="M34"/>
  <c r="AC48"/>
  <c r="M31"/>
  <c r="C7" s="1"/>
  <c r="M32"/>
  <c r="G22" l="1"/>
  <c r="S30" i="9"/>
  <c r="T30" s="1"/>
  <c r="O30"/>
  <c r="N30"/>
  <c r="M30"/>
  <c r="S29"/>
  <c r="U29" s="1"/>
  <c r="O29"/>
  <c r="N29"/>
  <c r="M29"/>
  <c r="U28"/>
  <c r="S28"/>
  <c r="T28" s="1"/>
  <c r="M28"/>
  <c r="N28" s="1"/>
  <c r="U27"/>
  <c r="T27"/>
  <c r="S27"/>
  <c r="M27"/>
  <c r="N27" s="1"/>
  <c r="T26"/>
  <c r="S26"/>
  <c r="U26" s="1"/>
  <c r="O26"/>
  <c r="N26"/>
  <c r="M26"/>
  <c r="S25"/>
  <c r="U25" s="1"/>
  <c r="O25"/>
  <c r="N25"/>
  <c r="M25"/>
  <c r="U24"/>
  <c r="T24"/>
  <c r="S24"/>
  <c r="M24"/>
  <c r="N24" s="1"/>
  <c r="U23"/>
  <c r="T23"/>
  <c r="S23"/>
  <c r="M23"/>
  <c r="N23" s="1"/>
  <c r="T22"/>
  <c r="S22"/>
  <c r="U22" s="1"/>
  <c r="M22"/>
  <c r="N22" s="1"/>
  <c r="S21"/>
  <c r="U21" s="1"/>
  <c r="O21"/>
  <c r="N21"/>
  <c r="M21"/>
  <c r="G18"/>
  <c r="H20" s="1"/>
  <c r="E18"/>
  <c r="F20" s="1"/>
  <c r="S15"/>
  <c r="U15" s="1"/>
  <c r="O15"/>
  <c r="N15"/>
  <c r="M15"/>
  <c r="S14"/>
  <c r="U14" s="1"/>
  <c r="O14"/>
  <c r="N14"/>
  <c r="M14"/>
  <c r="U13"/>
  <c r="T13"/>
  <c r="S13"/>
  <c r="M13"/>
  <c r="N13" s="1"/>
  <c r="U12"/>
  <c r="T12"/>
  <c r="S12"/>
  <c r="M12"/>
  <c r="N12" s="1"/>
  <c r="T11"/>
  <c r="S11"/>
  <c r="U11" s="1"/>
  <c r="O11"/>
  <c r="N11"/>
  <c r="M11"/>
  <c r="S10"/>
  <c r="U10" s="1"/>
  <c r="O10"/>
  <c r="N10"/>
  <c r="M10"/>
  <c r="U9"/>
  <c r="T9"/>
  <c r="S9"/>
  <c r="M9"/>
  <c r="N9" s="1"/>
  <c r="U8"/>
  <c r="T8"/>
  <c r="S8"/>
  <c r="M8"/>
  <c r="N8" s="1"/>
  <c r="T7"/>
  <c r="S7"/>
  <c r="U7" s="1"/>
  <c r="O7"/>
  <c r="N7"/>
  <c r="M7"/>
  <c r="S6"/>
  <c r="U6" s="1"/>
  <c r="O6"/>
  <c r="N6"/>
  <c r="M6"/>
  <c r="Y89" i="8"/>
  <c r="A89"/>
  <c r="D7" i="2"/>
  <c r="T15" i="9" l="1"/>
  <c r="O22"/>
  <c r="T6"/>
  <c r="O9"/>
  <c r="T10"/>
  <c r="O13"/>
  <c r="T14"/>
  <c r="T21"/>
  <c r="O24"/>
  <c r="T25"/>
  <c r="O28"/>
  <c r="T29"/>
  <c r="U30"/>
  <c r="O8"/>
  <c r="O12"/>
  <c r="O23"/>
  <c r="O27"/>
  <c r="F4" i="2"/>
  <c r="F7" l="1"/>
  <c r="H10" s="1"/>
  <c r="H11" s="1"/>
  <c r="H9"/>
  <c r="J34" l="1"/>
  <c r="B12"/>
  <c r="H12"/>
  <c r="C34" l="1"/>
  <c r="G11" l="1"/>
  <c r="G34" l="1"/>
  <c r="F25" s="1"/>
  <c r="A4" i="8"/>
  <c r="A5" l="1"/>
  <c r="I16" i="2" s="1"/>
  <c r="A6" i="8"/>
  <c r="I17" i="2" s="1"/>
  <c r="A7" i="8"/>
  <c r="I18" i="2" s="1"/>
  <c r="A10" i="8"/>
  <c r="I21" i="2" s="1"/>
  <c r="A9" i="8"/>
  <c r="I20" i="2" s="1"/>
  <c r="A8" i="8"/>
  <c r="I19" i="2" s="1"/>
</calcChain>
</file>

<file path=xl/sharedStrings.xml><?xml version="1.0" encoding="utf-8"?>
<sst xmlns="http://schemas.openxmlformats.org/spreadsheetml/2006/main" count="522" uniqueCount="423">
  <si>
    <t>K</t>
  </si>
  <si>
    <t>°Baumé</t>
  </si>
  <si>
    <t>walter</t>
  </si>
  <si>
    <t xml:space="preserve"> °Baumé</t>
  </si>
  <si>
    <t xml:space="preserve">www.walter-lystfisker.dk </t>
  </si>
  <si>
    <t>Hydrometer</t>
  </si>
  <si>
    <t>Modulus</t>
  </si>
  <si>
    <t>g/ml</t>
  </si>
  <si>
    <r>
      <t>g/cm</t>
    </r>
    <r>
      <rPr>
        <sz val="12"/>
        <rFont val="Calibri"/>
        <family val="2"/>
      </rPr>
      <t>³</t>
    </r>
  </si>
  <si>
    <t>Hydrometer 0300FG030/15-qp</t>
  </si>
  <si>
    <t>Brine&gt; 5%</t>
  </si>
  <si>
    <t xml:space="preserve"> liter </t>
  </si>
  <si>
    <t>Reg.No:1240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</si>
  <si>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</si>
  <si>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>COPYRIGHT © 2014</t>
  </si>
  <si>
    <t xml:space="preserve">http://www.ilpi.com/msds/ref/baumescale.html </t>
  </si>
  <si>
    <t>Salt %</t>
  </si>
  <si>
    <t>Grams Salt per L water</t>
  </si>
  <si>
    <t>https://www.thecheesemaker.com/salometer-brine-hydrometer-salinometer-salimeter/</t>
  </si>
  <si>
    <t>https://books.google.dk/books?id=YngepOh0gx0C&amp;pg=PA159&amp;lpg=PA159&amp;dq=salometer+degrees&amp;source=bl&amp;ots=DokSrP_K_3&amp;sig=ACfU3U2AVQk45_9850wyAvcGzTW7ZGaW-Q&amp;hl=da&amp;sa=X&amp;ved=2ahUKEwjLxITq4vPkAhU76KYKHQfABpYQ6AEwEXoECAkQAQ#v=onepage&amp;q=salometer%20degrees&amp;f=false</t>
  </si>
  <si>
    <r>
      <t xml:space="preserve">Freezing    Point                   </t>
    </r>
    <r>
      <rPr>
        <sz val="12"/>
        <rFont val="Calibri"/>
        <family val="2"/>
      </rPr>
      <t>°</t>
    </r>
    <r>
      <rPr>
        <sz val="12"/>
        <rFont val="Arial"/>
        <family val="2"/>
      </rPr>
      <t>C</t>
    </r>
  </si>
  <si>
    <t>*</t>
  </si>
  <si>
    <t>**</t>
  </si>
  <si>
    <t>***</t>
  </si>
  <si>
    <r>
      <rPr>
        <b/>
        <sz val="12"/>
        <color theme="4"/>
        <rFont val="Arial"/>
        <family val="2"/>
      </rPr>
      <t>*Sea water</t>
    </r>
    <r>
      <rPr>
        <b/>
        <sz val="12"/>
        <rFont val="Arial"/>
        <family val="2"/>
      </rPr>
      <t xml:space="preserve">     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7030A0"/>
        <rFont val="Arial"/>
        <family val="2"/>
      </rPr>
      <t xml:space="preserve">**Eutetic point      </t>
    </r>
    <r>
      <rPr>
        <b/>
        <sz val="12"/>
        <color rgb="FFFF0000"/>
        <rFont val="Arial"/>
        <family val="2"/>
      </rPr>
      <t xml:space="preserve">***Saturated brine at 15,5 °C </t>
    </r>
  </si>
  <si>
    <r>
      <t xml:space="preserve">Salometer Degrees             </t>
    </r>
    <r>
      <rPr>
        <sz val="12"/>
        <rFont val="Calibri"/>
        <family val="2"/>
      </rPr>
      <t>°</t>
    </r>
    <r>
      <rPr>
        <sz val="12"/>
        <rFont val="Arial"/>
        <family val="2"/>
      </rPr>
      <t>S</t>
    </r>
  </si>
  <si>
    <r>
      <t xml:space="preserve">Baume     Degrees              </t>
    </r>
    <r>
      <rPr>
        <sz val="12"/>
        <rFont val="Calibri"/>
        <family val="2"/>
      </rPr>
      <t>°</t>
    </r>
    <r>
      <rPr>
        <sz val="12"/>
        <rFont val="Arial"/>
        <family val="2"/>
      </rPr>
      <t>B</t>
    </r>
  </si>
  <si>
    <t>Specific      Gravity             g/ml</t>
  </si>
  <si>
    <t>SALOMETER (BRINE HYDROMETER), SALINOMETER, SALIMETER                                             HOW TO USE A SALOMETER</t>
  </si>
  <si>
    <t>A salometer is a hydrometer that measures the density of a sodium chloride brine using a scale marked</t>
  </si>
  <si>
    <t>for percent of saturation, 0°S to 100°S. A 70°S brine, for example, is 70% of fully saturated brine,</t>
  </si>
  <si>
    <t>which at 60°F would contain 1.75lbs of NaCl/gallon with a specific gravity of 1.139.</t>
  </si>
  <si>
    <t>There are different types of salometer scales. Some are based on a different saturation point,</t>
  </si>
  <si>
    <t>https://metodikogsmag.dk/saltning/rimning/saadan-rimmer-du-fisk/</t>
  </si>
  <si>
    <t>This area is used for salting meat and fish                                                                                                                                                                             Dette område bruges til saltning af kød og fisk</t>
  </si>
  <si>
    <t>https://www.thecheesemaker.com/</t>
  </si>
  <si>
    <t>Salt density</t>
  </si>
  <si>
    <t>% Sodium Chloride by mass</t>
  </si>
  <si>
    <t>Dissolved salt</t>
  </si>
  <si>
    <t>Brugsanvisning for anvendelse af regnearket:</t>
  </si>
  <si>
    <t>Instructions for use of spreadsheet:</t>
  </si>
  <si>
    <t>https://www.sousvidebogen.dk/opskrifter/salt-sukker-sprangning/</t>
  </si>
  <si>
    <t>This area is salting according to the "equilibrium method"                                                                                                                                                      Dette område er saltning efter "Ligevægtsmetoden"</t>
  </si>
  <si>
    <t>Jeg har kun "sprængt" en and efter ligevægtsmetoden. Det var da jeg skulle bruge den til</t>
  </si>
  <si>
    <t>"Lystfiskerens gule ærter". Prøv at lede på nettet under ligevægts saltning / gourmentsaltning.</t>
  </si>
  <si>
    <t>I've only salted a duck by the equilibrium method. That's when I had to use it for</t>
  </si>
  <si>
    <t>"Angler's yellow peas". Try to look the Internet under equilibrium salting / gourmentsaltning.</t>
  </si>
  <si>
    <r>
      <t>with 100°S representing 25% NaCl rather than 26.4%. Most are calibrated at 15,5</t>
    </r>
    <r>
      <rPr>
        <sz val="12"/>
        <rFont val="Calibri"/>
        <family val="2"/>
      </rPr>
      <t>°</t>
    </r>
    <r>
      <rPr>
        <sz val="12"/>
        <rFont val="Arial"/>
        <family val="2"/>
      </rPr>
      <t>C (60°F) but some</t>
    </r>
  </si>
  <si>
    <r>
      <t xml:space="preserve">are intended for cooler temperatures such as 3 </t>
    </r>
    <r>
      <rPr>
        <sz val="12"/>
        <rFont val="Calibri"/>
        <family val="2"/>
      </rPr>
      <t>°</t>
    </r>
    <r>
      <rPr>
        <sz val="12"/>
        <rFont val="Arial"/>
        <family val="2"/>
      </rPr>
      <t>C (38°F) and higher temerature such as 27°C (84°C)</t>
    </r>
  </si>
  <si>
    <t>The area here is a heavy brine in which the "hard" cheeses are dipped before waxing and ripening                                                                                                            Området her er en kraftig saltlage, hvori de "hårde" oste dyppes inden de woxes og modnes.</t>
  </si>
  <si>
    <t>°Brix</t>
  </si>
  <si>
    <t>Saltning efter ligevægtsmetoden</t>
  </si>
  <si>
    <t>Eksempel:</t>
  </si>
  <si>
    <t>Lidt forhånds information:</t>
  </si>
  <si>
    <r>
      <t xml:space="preserve">Antag at du skal salte en </t>
    </r>
    <r>
      <rPr>
        <b/>
        <sz val="12"/>
        <color rgb="FF00B050"/>
        <rFont val="Calibri"/>
        <family val="2"/>
        <scheme val="minor"/>
      </rPr>
      <t>svinemørbrad på 800 gram</t>
    </r>
    <r>
      <rPr>
        <sz val="12"/>
        <color theme="1"/>
        <rFont val="Calibri"/>
        <family val="2"/>
        <scheme val="minor"/>
      </rPr>
      <t>. Så ifølge tabellen t. h.</t>
    </r>
  </si>
  <si>
    <t>Vand</t>
  </si>
  <si>
    <t>Kød</t>
  </si>
  <si>
    <t>Vand + Kød</t>
  </si>
  <si>
    <t>Sukker %</t>
  </si>
  <si>
    <t>At salte kød er lidt af en "kunst". Enten giver man for meget salt, så kødet bliver hårdt og uspiseligt, fordi det også er for salt.</t>
  </si>
  <si>
    <r>
      <t xml:space="preserve">for </t>
    </r>
    <r>
      <rPr>
        <b/>
        <sz val="12"/>
        <color theme="1"/>
        <rFont val="Calibri"/>
        <family val="2"/>
        <scheme val="minor"/>
      </rPr>
      <t>mellem saltning</t>
    </r>
    <r>
      <rPr>
        <sz val="12"/>
        <color theme="1"/>
        <rFont val="Calibri"/>
        <family val="2"/>
        <scheme val="minor"/>
      </rPr>
      <t>, skal der bruges 1200 gram vand (1,2 liter vand).</t>
    </r>
  </si>
  <si>
    <t>Mild saltning</t>
  </si>
  <si>
    <t>Kraftig saltning</t>
  </si>
  <si>
    <t>Det vil derfor være en god ide at lære at salte efter "LIGEVÆGTSMETODEN". Hvad går så denne metode ud på, jo saltet vil</t>
  </si>
  <si>
    <t>Vand + kød vejer så 2000 gram og der vejes 30 gram salt og 8 gram sukker af.</t>
  </si>
  <si>
    <t>gram</t>
  </si>
  <si>
    <t>trænge gennem overfladen og ind i kødet på grund af osmose effekten. Resultatet bliver, at vandet i kødet formindskes og</t>
  </si>
  <si>
    <t xml:space="preserve">Vand, salt og sukker blandes godt, og kødet lægges i. Sæt fadet i køleskabet </t>
  </si>
  <si>
    <t>saltkoncentrationen stiger. Det vil foregå indtil saltkoncentrationen i vand og kød er ens - i ligevægt. Der er også to andre</t>
  </si>
  <si>
    <t>i 1 døgn. Brug en tallerken som vægt, hvis kødet flyder ovenpå.</t>
  </si>
  <si>
    <t>faktorer, som der skal tages hensyn til. Den første er, hvilken sort kød skal saltes og den anden er vægten / tykkelsen af kødet.</t>
  </si>
  <si>
    <t>Fisk:</t>
  </si>
  <si>
    <r>
      <rPr>
        <b/>
        <sz val="12"/>
        <color theme="1"/>
        <rFont val="Calibri"/>
        <family val="2"/>
        <scheme val="minor"/>
      </rPr>
      <t>Mild saltning</t>
    </r>
    <r>
      <rPr>
        <sz val="12"/>
        <color theme="1"/>
        <rFont val="Calibri"/>
        <family val="2"/>
        <scheme val="minor"/>
      </rPr>
      <t xml:space="preserve"> i 12 timer for laks til koldrøgning.</t>
    </r>
  </si>
  <si>
    <t>Fjerkræ:</t>
  </si>
  <si>
    <r>
      <rPr>
        <b/>
        <sz val="12"/>
        <color theme="1"/>
        <rFont val="Calibri"/>
        <family val="2"/>
        <scheme val="minor"/>
      </rPr>
      <t>Mild saltning</t>
    </r>
    <r>
      <rPr>
        <sz val="12"/>
        <color theme="1"/>
        <rFont val="Calibri"/>
        <family val="2"/>
        <scheme val="minor"/>
      </rPr>
      <t xml:space="preserve"> i 12 timer for kyllingebryst eller kyllingelår, 24 timer for andebryst og andelår.</t>
    </r>
  </si>
  <si>
    <t>Vand min</t>
  </si>
  <si>
    <t>Vand max</t>
  </si>
  <si>
    <t>til</t>
  </si>
  <si>
    <t>Svinekød:</t>
  </si>
  <si>
    <t>Mellem saltning</t>
  </si>
  <si>
    <t>Sprængning</t>
  </si>
  <si>
    <r>
      <rPr>
        <b/>
        <sz val="12"/>
        <color theme="1"/>
        <rFont val="Calibri"/>
        <family val="2"/>
        <scheme val="minor"/>
      </rPr>
      <t>Mellem saltning</t>
    </r>
    <r>
      <rPr>
        <sz val="12"/>
        <color theme="1"/>
        <rFont val="Calibri"/>
        <family val="2"/>
        <scheme val="minor"/>
      </rPr>
      <t xml:space="preserve"> for svinemørbrad i 24 timer.</t>
    </r>
  </si>
  <si>
    <t>Fra ovenstående eksempel vælges mellem:</t>
  </si>
  <si>
    <t>eller</t>
  </si>
  <si>
    <t>gram vand og kød</t>
  </si>
  <si>
    <t>Store stege:</t>
  </si>
  <si>
    <r>
      <t xml:space="preserve">1 kg vand ved 4 </t>
    </r>
    <r>
      <rPr>
        <sz val="12"/>
        <color theme="1"/>
        <rFont val="Calibri"/>
        <family val="2"/>
      </rPr>
      <t>°</t>
    </r>
    <r>
      <rPr>
        <sz val="11.75"/>
        <color theme="1"/>
        <rFont val="Calibri"/>
        <family val="2"/>
      </rPr>
      <t>C fylder 1,000 liter.</t>
    </r>
  </si>
  <si>
    <t>Man siger: Massen er konstant</t>
  </si>
  <si>
    <r>
      <rPr>
        <b/>
        <sz val="12"/>
        <color theme="1"/>
        <rFont val="Calibri"/>
        <family val="2"/>
        <scheme val="minor"/>
      </rPr>
      <t xml:space="preserve">Kraftig saltning </t>
    </r>
    <r>
      <rPr>
        <sz val="12"/>
        <color theme="1"/>
        <rFont val="Calibri"/>
        <family val="2"/>
        <scheme val="minor"/>
      </rPr>
      <t>i 24 timer for flæskesteg, lammesteg og and / gås.</t>
    </r>
  </si>
  <si>
    <r>
      <t xml:space="preserve">1 kg vand ved 100 </t>
    </r>
    <r>
      <rPr>
        <sz val="12"/>
        <color theme="1"/>
        <rFont val="Calibri"/>
        <family val="2"/>
      </rPr>
      <t>°</t>
    </r>
    <r>
      <rPr>
        <sz val="11.75"/>
        <color theme="1"/>
        <rFont val="Calibri"/>
        <family val="2"/>
      </rPr>
      <t>C fylder 1,042 liter.</t>
    </r>
  </si>
  <si>
    <t>Sprængning af store kødstykker:</t>
  </si>
  <si>
    <t>Gourmentsaltning er også en metode, som gør kødet saftigt og mørt</t>
  </si>
  <si>
    <r>
      <rPr>
        <b/>
        <sz val="12"/>
        <color theme="1"/>
        <rFont val="Calibri"/>
        <family val="2"/>
        <scheme val="minor"/>
      </rPr>
      <t>Sprængning</t>
    </r>
    <r>
      <rPr>
        <sz val="12"/>
        <color theme="1"/>
        <rFont val="Calibri"/>
        <family val="2"/>
        <scheme val="minor"/>
      </rPr>
      <t xml:space="preserve"> op til 7 døgn for store stykker kød af oksebryst, skinke, lammekølle, dyrekølle og vildsvinekølle.</t>
    </r>
  </si>
  <si>
    <t>Gourmentsaltning er en mild tørsaltning kort tid før kødet tilberedes. Her bruges ikke vand,</t>
  </si>
  <si>
    <t>men kødet gnides blot ind i salt og lægges ind i køleskabet i 1 til 2 timer før tilberedning.</t>
  </si>
  <si>
    <t>Vej dit kød og brug 2 gange vægten af vand. Der skal bruges et fad, der kan rumme kød og vand,</t>
  </si>
  <si>
    <t>dog uden at være for stort, da alt kød skal være under vandet. Læg gerne en tallerken over.</t>
  </si>
  <si>
    <t>Hvis kødet ikke dækkes af vandet, skal der bruges mere vand og salt/sukker justeres op.</t>
  </si>
  <si>
    <t>Men gå ikke over 3 gange vægten af vand.</t>
  </si>
  <si>
    <t>Salt</t>
  </si>
  <si>
    <t>Gourmentsaltning og ligevægtssaltning er ikke at betragte som konservering af kødet, da der skal bruges mere salt til dette formål.</t>
  </si>
  <si>
    <t>Dry solid salt</t>
  </si>
  <si>
    <t>Gerlach scale</t>
  </si>
  <si>
    <t>Specific gravity at 20°/20°C</t>
  </si>
  <si>
    <t>Oechsle</t>
  </si>
  <si>
    <t>°Brix / Balling</t>
  </si>
  <si>
    <t>Baumé</t>
  </si>
  <si>
    <t>0.0</t>
  </si>
  <si>
    <t>0.00</t>
  </si>
  <si>
    <t>0.2</t>
  </si>
  <si>
    <t>0.1</t>
  </si>
  <si>
    <t>0.4</t>
  </si>
  <si>
    <t>0.6</t>
  </si>
  <si>
    <t>0.3</t>
  </si>
  <si>
    <t>0.8</t>
  </si>
  <si>
    <t>0.45</t>
  </si>
  <si>
    <t>1.0</t>
  </si>
  <si>
    <t>0.55</t>
  </si>
  <si>
    <t>2.0</t>
  </si>
  <si>
    <t>1.1</t>
  </si>
  <si>
    <t>3.0</t>
  </si>
  <si>
    <t>1.7</t>
  </si>
  <si>
    <t>4.0</t>
  </si>
  <si>
    <t>2.2</t>
  </si>
  <si>
    <t>5.0</t>
  </si>
  <si>
    <t>2.8</t>
  </si>
  <si>
    <t>6.0</t>
  </si>
  <si>
    <t>3.3</t>
  </si>
  <si>
    <t>7.0</t>
  </si>
  <si>
    <t>3.9</t>
  </si>
  <si>
    <t>8.0</t>
  </si>
  <si>
    <t>4.4</t>
  </si>
  <si>
    <t>9.0</t>
  </si>
  <si>
    <t>10.0</t>
  </si>
  <si>
    <t>5.6</t>
  </si>
  <si>
    <t>11.0</t>
  </si>
  <si>
    <t>6.1</t>
  </si>
  <si>
    <t>12.0</t>
  </si>
  <si>
    <t>6.7</t>
  </si>
  <si>
    <t>13.0</t>
  </si>
  <si>
    <t>7.2</t>
  </si>
  <si>
    <t>14.0</t>
  </si>
  <si>
    <t>7.8</t>
  </si>
  <si>
    <t>15.0</t>
  </si>
  <si>
    <t>8.3</t>
  </si>
  <si>
    <t>16.0</t>
  </si>
  <si>
    <t>8.9</t>
  </si>
  <si>
    <t>17.0</t>
  </si>
  <si>
    <t>9.4</t>
  </si>
  <si>
    <t>17.4</t>
  </si>
  <si>
    <t>9.7</t>
  </si>
  <si>
    <t>18.0</t>
  </si>
  <si>
    <t>18.4</t>
  </si>
  <si>
    <t>10.2</t>
  </si>
  <si>
    <t>19.0</t>
  </si>
  <si>
    <t>10.55</t>
  </si>
  <si>
    <t>19.2</t>
  </si>
  <si>
    <t>10.65</t>
  </si>
  <si>
    <t>19.4</t>
  </si>
  <si>
    <t>10.8</t>
  </si>
  <si>
    <t>19.6</t>
  </si>
  <si>
    <t>10.9</t>
  </si>
  <si>
    <t>19.8</t>
  </si>
  <si>
    <t>20.0</t>
  </si>
  <si>
    <t>11.1</t>
  </si>
  <si>
    <t>20.2</t>
  </si>
  <si>
    <t>11.2</t>
  </si>
  <si>
    <t>20.4</t>
  </si>
  <si>
    <t>11.35</t>
  </si>
  <si>
    <t>20.6</t>
  </si>
  <si>
    <t>11.45</t>
  </si>
  <si>
    <t>20.8</t>
  </si>
  <si>
    <t>11.55</t>
  </si>
  <si>
    <t>21.0</t>
  </si>
  <si>
    <t>11.7</t>
  </si>
  <si>
    <t>21.2</t>
  </si>
  <si>
    <t>11.8</t>
  </si>
  <si>
    <t>21.4</t>
  </si>
  <si>
    <t>11.9</t>
  </si>
  <si>
    <t>21.6</t>
  </si>
  <si>
    <t>21.8</t>
  </si>
  <si>
    <t>12.1</t>
  </si>
  <si>
    <t>22.0</t>
  </si>
  <si>
    <t>12.2</t>
  </si>
  <si>
    <t>22.2</t>
  </si>
  <si>
    <t>12.3</t>
  </si>
  <si>
    <t>22.4</t>
  </si>
  <si>
    <t>12.45</t>
  </si>
  <si>
    <t>22.6</t>
  </si>
  <si>
    <t>12.55</t>
  </si>
  <si>
    <t>22.8</t>
  </si>
  <si>
    <t>12.7</t>
  </si>
  <si>
    <t>23.0</t>
  </si>
  <si>
    <t>12.8</t>
  </si>
  <si>
    <t>23.2</t>
  </si>
  <si>
    <t>12.9</t>
  </si>
  <si>
    <t>23.4</t>
  </si>
  <si>
    <t>23.6</t>
  </si>
  <si>
    <t>13.1</t>
  </si>
  <si>
    <t>23.8</t>
  </si>
  <si>
    <t>13.2</t>
  </si>
  <si>
    <t>24.0</t>
  </si>
  <si>
    <t>13.3</t>
  </si>
  <si>
    <t>24.2</t>
  </si>
  <si>
    <t>13.45</t>
  </si>
  <si>
    <t>24.4</t>
  </si>
  <si>
    <t>13.55</t>
  </si>
  <si>
    <t>24.6</t>
  </si>
  <si>
    <t>13.7</t>
  </si>
  <si>
    <t>24.8</t>
  </si>
  <si>
    <t>13.8</t>
  </si>
  <si>
    <t>25.0</t>
  </si>
  <si>
    <t>13.9</t>
  </si>
  <si>
    <t>25.2</t>
  </si>
  <si>
    <t>25.4</t>
  </si>
  <si>
    <t>14.1</t>
  </si>
  <si>
    <t>25.6</t>
  </si>
  <si>
    <t>14.2</t>
  </si>
  <si>
    <t>25.8</t>
  </si>
  <si>
    <t>14.3</t>
  </si>
  <si>
    <t>26.0</t>
  </si>
  <si>
    <t>14.45</t>
  </si>
  <si>
    <t>26.2</t>
  </si>
  <si>
    <t>14.55</t>
  </si>
  <si>
    <t>26.4</t>
  </si>
  <si>
    <t>14.65</t>
  </si>
  <si>
    <t>26.6</t>
  </si>
  <si>
    <t>14.8</t>
  </si>
  <si>
    <t>26.8</t>
  </si>
  <si>
    <t>14.9</t>
  </si>
  <si>
    <t>27.0</t>
  </si>
  <si>
    <t>27.2</t>
  </si>
  <si>
    <t>15.1</t>
  </si>
  <si>
    <t>27.4</t>
  </si>
  <si>
    <t>15.2</t>
  </si>
  <si>
    <t>27.6</t>
  </si>
  <si>
    <t>15.3</t>
  </si>
  <si>
    <t>27.8</t>
  </si>
  <si>
    <t>15.45</t>
  </si>
  <si>
    <t>30.0</t>
  </si>
  <si>
    <t>16.57</t>
  </si>
  <si>
    <t>http://www.haandbrygforum.dk/gallery/albums/userpics/10002/Sukker_Alk.pdf</t>
  </si>
  <si>
    <t>Hvis vi antager, at svinemørbraden vejer 1000 g, ændre du blot vægten af kød til 1000 g</t>
  </si>
  <si>
    <t>°Be = K * (1 - 1 / rho) =</t>
  </si>
  <si>
    <t>Let</t>
  </si>
  <si>
    <t>Middel</t>
  </si>
  <si>
    <t>Kraftig</t>
  </si>
  <si>
    <t>Vælg din gourmentsaltnings styrke</t>
  </si>
  <si>
    <t xml:space="preserve"> gram </t>
  </si>
  <si>
    <t>Jo længere tid kødet ligger i køleskabet, jo mere salt og hårdt bliver kødet.</t>
  </si>
  <si>
    <r>
      <rPr>
        <b/>
        <sz val="12"/>
        <color theme="1"/>
        <rFont val="Calibri"/>
        <family val="2"/>
        <scheme val="minor"/>
      </rPr>
      <t>Let</t>
    </r>
    <r>
      <rPr>
        <sz val="12"/>
        <color theme="1"/>
        <rFont val="Calibri"/>
        <family val="2"/>
        <scheme val="minor"/>
      </rPr>
      <t xml:space="preserve"> gourmentsaltning</t>
    </r>
  </si>
  <si>
    <r>
      <rPr>
        <b/>
        <sz val="12"/>
        <color theme="1"/>
        <rFont val="Calibri"/>
        <family val="2"/>
        <scheme val="minor"/>
      </rPr>
      <t>Middel</t>
    </r>
    <r>
      <rPr>
        <sz val="12"/>
        <color theme="1"/>
        <rFont val="Calibri"/>
        <family val="2"/>
        <scheme val="minor"/>
      </rPr>
      <t xml:space="preserve"> gourmentsaltning</t>
    </r>
  </si>
  <si>
    <r>
      <rPr>
        <b/>
        <sz val="12"/>
        <color theme="1"/>
        <rFont val="Calibri"/>
        <family val="2"/>
        <scheme val="minor"/>
      </rPr>
      <t>Kraftig</t>
    </r>
    <r>
      <rPr>
        <sz val="12"/>
        <color theme="1"/>
        <rFont val="Calibri"/>
        <family val="2"/>
        <scheme val="minor"/>
      </rPr>
      <t xml:space="preserve"> gourmentsaltning</t>
    </r>
  </si>
  <si>
    <t>Kraftig saltning 2,5 % salt og 1 % sukker</t>
  </si>
  <si>
    <t>Mild saltning 1 % salt og 0,4 % sukker</t>
  </si>
  <si>
    <t>Mellem saltning 1,5 % salt og 0,4 % sukker</t>
  </si>
  <si>
    <t>Sprængning 3 % salt og 1,2 % sukker</t>
  </si>
  <si>
    <t xml:space="preserve">Hvordan beregner jeg mængden af salt til saltlage? | Spørgsmål om hærdning (raeucherwiki.de) </t>
  </si>
  <si>
    <t xml:space="preserve">https://richter-nielsen.dk/blog/saltmetoder/ </t>
  </si>
  <si>
    <t>Salts opløselighed i vand som funktion af temperatur</t>
  </si>
  <si>
    <r>
      <t xml:space="preserve">Temperatur </t>
    </r>
    <r>
      <rPr>
        <sz val="12"/>
        <rFont val="Calibri"/>
        <family val="2"/>
      </rPr>
      <t>°C</t>
    </r>
  </si>
  <si>
    <t>gr salt/100 ml vand</t>
  </si>
  <si>
    <t> Baumé-skalaen er faktisk to uafhængige og gensidigt eksklusive (ikke-overlappende) hydrometer-skalaer, der dækker:</t>
  </si>
  <si>
    <t>a) væsker med en massefylde større end 1,0 - væsker, der er mere tætte (tungre) end vand.</t>
  </si>
  <si>
    <t>b) væsker med en vægtfylde mindre end 1,0. - væsker, der er mindre tætte (lettere) end vand.</t>
  </si>
  <si>
    <t>Kun denne bruges her.</t>
  </si>
  <si>
    <t>Denne bruges ikke her.</t>
  </si>
  <si>
    <t>Vandtemperatur i °C</t>
  </si>
  <si>
    <t>Gram salt</t>
  </si>
  <si>
    <t>Gram vand</t>
  </si>
  <si>
    <t>Vælg en temperatur i rullelisten</t>
  </si>
  <si>
    <r>
      <t>Indsæt</t>
    </r>
    <r>
      <rPr>
        <sz val="12"/>
        <color rgb="FF0070C0"/>
        <rFont val="Arial"/>
        <family val="2"/>
      </rPr>
      <t xml:space="preserve"> vand</t>
    </r>
    <r>
      <rPr>
        <sz val="12"/>
        <color rgb="FF333333"/>
        <rFont val="Arial"/>
        <family val="2"/>
      </rPr>
      <t xml:space="preserve"> og </t>
    </r>
    <r>
      <rPr>
        <sz val="12"/>
        <color rgb="FFFF0000"/>
        <rFont val="Arial"/>
        <family val="2"/>
      </rPr>
      <t>salt</t>
    </r>
    <r>
      <rPr>
        <sz val="12"/>
        <color rgb="FF333333"/>
        <rFont val="Arial"/>
        <family val="2"/>
      </rPr>
      <t xml:space="preserve"> i gram</t>
    </r>
  </si>
  <si>
    <t>Massen af vand er konstant, selv om temperaturen er 4 °C eller 100 °C.</t>
  </si>
  <si>
    <t>Saltlage kalibreres ved 15,5 °C (60 °F)</t>
  </si>
  <si>
    <t>Den specifikke massefylde [ρ] vil falde med stigende temperatur, fordi volumen stiger med stigende temperatur. °Bé falder også</t>
  </si>
  <si>
    <t>Saltblanding vægt % - Specifik densitet ρ [rho]  °Baume er en amerikansk enhed =                                    K * (1 - 1 / rho)</t>
  </si>
  <si>
    <t>Vægt blanding gram</t>
  </si>
  <si>
    <t>Volumen blanding ml</t>
  </si>
  <si>
    <t>Konstanter</t>
  </si>
  <si>
    <t>Anvend: Målsøgning i hvad-hvis-analyse</t>
  </si>
  <si>
    <t>rho = gram blanding / volumen blanding</t>
  </si>
  <si>
    <t>Vægt %</t>
  </si>
  <si>
    <t>Væske tungere end vand</t>
  </si>
  <si>
    <t>Tabellen gælder for 15,5 °C (60 °F) Salometer</t>
  </si>
  <si>
    <t>Se ARK 'Salometer'</t>
  </si>
  <si>
    <t>Baume grader °B</t>
  </si>
  <si>
    <t>Salometer grader °S</t>
  </si>
  <si>
    <t>% Natriumchlorid efter vægt</t>
  </si>
  <si>
    <t>Gram Salt pr. L vand</t>
  </si>
  <si>
    <t>Vægtfylde g/ml</t>
  </si>
  <si>
    <t>Frysepunkt °C</t>
  </si>
  <si>
    <t>Hydrometermålinger blev udført ved 15,5 °C varmt demineraliseret vand</t>
  </si>
  <si>
    <t>Skalaen på et °Baume-hydrometer til saltlage bør gå fra 0 til 30</t>
  </si>
  <si>
    <t>Saltopløselighed i 1 liter vand: 356 g ved 0°C, 360 g ved 20°C og 398 g ved 100°C</t>
  </si>
  <si>
    <t>1 liter demineraliseret vand, vejer 1000 gram ved 4 °C = 0 ° Baumé</t>
  </si>
  <si>
    <t>Den ideelle styrke til saltning af kød og fisk er mellem 10 og 15 °Baume ved 4 °C,                  hvilket svarer til mellem 10 vægt % og 16 vægt %</t>
  </si>
  <si>
    <t>Saltholdighed baseret på opløste salte</t>
  </si>
  <si>
    <t>Ferskvand &lt;0,05 %</t>
  </si>
  <si>
    <t>Brakvand 0,05 % til 3 %</t>
  </si>
  <si>
    <t>Saltvand 3% til 5%</t>
  </si>
  <si>
    <r>
      <t xml:space="preserve">Indsæt mængden af vand og mængden af salt i de gule celler C4 og D4 på "Ark Salt". 1 liter vand = 1 kg vand ved 4 </t>
    </r>
    <r>
      <rPr>
        <sz val="12"/>
        <rFont val="Calibri"/>
        <family val="2"/>
      </rPr>
      <t>°</t>
    </r>
    <r>
      <rPr>
        <sz val="12"/>
        <rFont val="Arial"/>
        <family val="2"/>
      </rPr>
      <t>C.</t>
    </r>
  </si>
  <si>
    <r>
      <t xml:space="preserve">Hvis vi antager, at der skal bruges 1 liter saltlage ved 12 </t>
    </r>
    <r>
      <rPr>
        <sz val="12"/>
        <rFont val="Calibri"/>
        <family val="2"/>
      </rPr>
      <t>°</t>
    </r>
    <r>
      <rPr>
        <sz val="12"/>
        <rFont val="Arial"/>
        <family val="2"/>
      </rPr>
      <t>Baume indsættes 1000 ml i celle C4 med vand på "Ark Salt"</t>
    </r>
  </si>
  <si>
    <t>Enter the amount of water and the amount of salt in the yellow cells C4 and D4 on the "Salt Sheet". 1 liter of water = 1 kg of water at 4 °C.</t>
  </si>
  <si>
    <t>If we assume that 1 liter of brine is to be used at 12 °Baume, insert 1000 ml in cell C4 with water on "Ark Salt"</t>
  </si>
  <si>
    <t>Udfør en målsøgning med hensyn til salt, ved at sætte "Til værdi" til 12 ved ændring af celle D4 på"Ark Salt".</t>
  </si>
  <si>
    <t>Perform a target search for salt by setting "To Value" to 12 when changing cell D4 to "Sheet Salt".</t>
  </si>
  <si>
    <t>Et salometer er et hydrometer, der måler tætheden af en natriumchlorid-saltlage ved hjælp af en skala markeret</t>
  </si>
  <si>
    <t>for procent af mætning, 0°S til 100°S. En 70°S saltlage er for eksempel 70% af fuldt mættet saltlage,</t>
  </si>
  <si>
    <t>som ved 60°F ville indeholde 1,75 lbs NaCl/gallon med en vægtfylde på 1,139.</t>
  </si>
  <si>
    <t>Der findes forskellige typer salometervægte. Nogle er baseret på et andet mætningspunkt,</t>
  </si>
  <si>
    <t>med 100°S, der repræsenterer 25% NaCl i stedet for 26,4%. De fleste er kalibreret ved 15,5°C (60°F), men nogle</t>
  </si>
  <si>
    <t>er beregnet til køligere temperaturer såsom 3 °C (38 °F) og højere temperaturer såsom 27 °C (84 °C)</t>
  </si>
  <si>
    <t>Natriumchlorid-brine-tabel til 15,5 °C (60 °F)</t>
  </si>
  <si>
    <t>Salt mængden aflæses til 136,35 gram. Blandingen fylder 1,04 liter.</t>
  </si>
  <si>
    <t>The amount of salt is read as 136.35 grams. The mixture takes up 1.04 litres.</t>
  </si>
  <si>
    <t xml:space="preserve">Blandingen giver </t>
  </si>
  <si>
    <t xml:space="preserve">ved </t>
  </si>
  <si>
    <t xml:space="preserve"> og </t>
  </si>
  <si>
    <t xml:space="preserve"> vægt %</t>
  </si>
  <si>
    <t>Kun ved 15,5 °C (60 °F)</t>
  </si>
  <si>
    <t>Brug kun vægt mål for salt - Aldrig volume mål</t>
  </si>
  <si>
    <r>
      <t xml:space="preserve">Udarbejdet af Jørgen Walter </t>
    </r>
    <r>
      <rPr>
        <b/>
        <sz val="14"/>
        <color indexed="8"/>
        <rFont val="Calibri"/>
        <family val="2"/>
      </rPr>
      <t>©</t>
    </r>
  </si>
  <si>
    <t>Mættede opløsninger</t>
  </si>
  <si>
    <t>Hvor mange gram salt kan der opløses i</t>
  </si>
  <si>
    <t>gram vand</t>
  </si>
  <si>
    <t xml:space="preserve">gram vand ved </t>
  </si>
  <si>
    <t>Ligning Nr. 1:</t>
  </si>
  <si>
    <t xml:space="preserve">Ved </t>
  </si>
  <si>
    <t xml:space="preserve">°C </t>
  </si>
  <si>
    <t>er opløseligheden af NaCl</t>
  </si>
  <si>
    <t>g / 100 g vand</t>
  </si>
  <si>
    <r>
      <t>(gram vand  H</t>
    </r>
    <r>
      <rPr>
        <sz val="12"/>
        <rFont val="Calibri"/>
        <family val="2"/>
      </rPr>
      <t>₂</t>
    </r>
    <r>
      <rPr>
        <sz val="12"/>
        <rFont val="Arial"/>
        <family val="2"/>
      </rPr>
      <t>O) * (gr salt/100 g vand NaCL) / (100 g H</t>
    </r>
    <r>
      <rPr>
        <sz val="12"/>
        <rFont val="Calibri"/>
        <family val="2"/>
      </rPr>
      <t>₂</t>
    </r>
    <r>
      <rPr>
        <sz val="12"/>
        <rFont val="Arial"/>
        <family val="2"/>
      </rPr>
      <t xml:space="preserve">O)  = </t>
    </r>
  </si>
  <si>
    <t>g NaCl</t>
  </si>
  <si>
    <t>I ligning Nr. 1 finder man, hvor mange gram salt, der kan opløses i den mængde vand, som man vil bruge ved den angivne temperatur</t>
  </si>
  <si>
    <t xml:space="preserve">https://kemi.androide.dk/12-oploesninger/12-3-oploeselighed/ </t>
  </si>
  <si>
    <r>
      <t>Antag, at vi har forberedt en opløsning, ved at blande 8,00 gram KCl (</t>
    </r>
    <r>
      <rPr>
        <i/>
        <sz val="13"/>
        <color rgb="FF404040"/>
        <rFont val="Arial"/>
        <family val="2"/>
      </rPr>
      <t>opløst stof</t>
    </r>
    <r>
      <rPr>
        <sz val="13"/>
        <color rgb="FF404040"/>
        <rFont val="Arial"/>
        <family val="2"/>
      </rPr>
      <t>), med 42,00 g vand (</t>
    </r>
    <r>
      <rPr>
        <i/>
        <sz val="13"/>
        <color rgb="FF404040"/>
        <rFont val="Arial"/>
        <family val="2"/>
      </rPr>
      <t>opløsningsmiddel</t>
    </r>
    <r>
      <rPr>
        <sz val="13"/>
        <color rgb="FF404040"/>
        <rFont val="Arial"/>
        <family val="2"/>
      </rPr>
      <t>).</t>
    </r>
  </si>
  <si>
    <t>Sammen, giver massen af det opløste stof og massen af opløsningsmidlet (8,00 g + 42,00 g = 50,00 g).</t>
  </si>
  <si>
    <t>Masseprocenten beregnes ved at indsætte værdierne i masseprocentligningen:</t>
  </si>
  <si>
    <t>Gram salt / gram blanding  Masseprocentligningen [%]:</t>
  </si>
  <si>
    <t xml:space="preserve">https://www.youtube.com/watch?v=xxy7o4I3BMQ </t>
  </si>
  <si>
    <t>g NaCl er muligt at opløse i</t>
  </si>
  <si>
    <t>Masseprocentligningen</t>
  </si>
  <si>
    <t>Vores opløsning</t>
  </si>
  <si>
    <r>
      <t>g H</t>
    </r>
    <r>
      <rPr>
        <sz val="12"/>
        <rFont val="Calibri"/>
        <family val="2"/>
      </rPr>
      <t>₂</t>
    </r>
    <r>
      <rPr>
        <sz val="12"/>
        <rFont val="Arial"/>
        <family val="2"/>
      </rPr>
      <t>O</t>
    </r>
  </si>
  <si>
    <t>Vi får</t>
  </si>
  <si>
    <t>vægt %</t>
  </si>
  <si>
    <t>Vi kan se, at opløsningen er</t>
  </si>
  <si>
    <t xml:space="preserve">https://en.wikipedia.org/wiki/Solubility_table#S </t>
  </si>
  <si>
    <t xml:space="preserve"> med </t>
  </si>
  <si>
    <t xml:space="preserve"> g salt</t>
  </si>
  <si>
    <t>Density</t>
  </si>
  <si>
    <r>
      <t xml:space="preserve">Konstanter for udregning af </t>
    </r>
    <r>
      <rPr>
        <sz val="12"/>
        <rFont val="Calibri"/>
        <family val="2"/>
      </rPr>
      <t>⁰Brix</t>
    </r>
  </si>
  <si>
    <t>HYDROMETER SKALA KONVERTERINGSTABEL</t>
  </si>
  <si>
    <t>There is an eutectic composition around 27 wt % NaCl or salt dissolved in the water.</t>
  </si>
  <si>
    <r>
      <t>At the eutectic point, the melting or freezing temperature is as low as it will get: -21.1 </t>
    </r>
    <r>
      <rPr>
        <vertAlign val="superscript"/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C (- 6</t>
    </r>
    <r>
      <rPr>
        <vertAlign val="superscript"/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F)</t>
    </r>
  </si>
  <si>
    <t>The maximum amount of salt you can dissolve in water is around 30 %, slightly increasing with temperature.</t>
  </si>
  <si>
    <t>If your salt concentration is, for example, lower than the eutectic concentration (i.e. it is below about 27 %), the system will decompose into salt-free ice and liquid water with an increased salt concentration as shown for the "red" composition around 18 % salt</t>
  </si>
  <si>
    <r>
      <t>The last drop to solidify will do so at -21.1 </t>
    </r>
    <r>
      <rPr>
        <vertAlign val="superscript"/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C (- 6</t>
    </r>
    <r>
      <rPr>
        <vertAlign val="superscript"/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F) and contains about 27 % salt in liquid and ice.</t>
    </r>
  </si>
  <si>
    <t xml:space="preserve">https://www.tf.uni-kiel.de/matwis/amat/iss/kap_6/illustr/i6_2_2.html </t>
  </si>
  <si>
    <t>Max % Salt</t>
  </si>
  <si>
    <t xml:space="preserve"> °C</t>
  </si>
  <si>
    <t>Regnearket er Password beskyttet, så man kan ikke slette noget ved et uheld</t>
  </si>
  <si>
    <t>Tabel til fremstilling af saltopløsning</t>
  </si>
  <si>
    <t>Vandmængde i liter</t>
  </si>
  <si>
    <t>Lage %</t>
  </si>
  <si>
    <t>Tilsætning af salt - køkkensalt og/eller nitritsalt - afhængig af den påtænkte anvendelse i gram</t>
  </si>
  <si>
    <t>Her aflæses resultatet for din indtastning til salt lagen</t>
  </si>
  <si>
    <t>Indsæt lage procent</t>
  </si>
  <si>
    <t>%</t>
  </si>
  <si>
    <t>gram salt</t>
  </si>
  <si>
    <t>Dette område er saltning efter "Ligevægtsmetoden"  også kaldet "Gourmentsaltning" en metode, som gør kødet saftigt og mørt</t>
  </si>
  <si>
    <t>Dette område bruges til saltning af kød og fisk</t>
  </si>
  <si>
    <t>Indsæt vandmængden i hele liter</t>
  </si>
  <si>
    <t>liter</t>
  </si>
  <si>
    <t>Området her er en kraftig saltlage, hvori de "hårde" oste dyppes inden de woxes og modnes.</t>
  </si>
  <si>
    <r>
      <t>Indtast dine to værdier i de gule celler</t>
    </r>
    <r>
      <rPr>
        <b/>
        <sz val="14"/>
        <rFont val="Arial"/>
        <family val="2"/>
      </rPr>
      <t xml:space="preserve"> </t>
    </r>
    <r>
      <rPr>
        <b/>
        <sz val="14"/>
        <color rgb="FFFFFF00"/>
        <rFont val="Arial"/>
        <family val="2"/>
      </rPr>
      <t>E7</t>
    </r>
    <r>
      <rPr>
        <sz val="14"/>
        <color rgb="FFFFFF00"/>
        <rFont val="Arial"/>
        <family val="2"/>
      </rPr>
      <t xml:space="preserve"> </t>
    </r>
    <r>
      <rPr>
        <sz val="14"/>
        <rFont val="Arial"/>
        <family val="2"/>
      </rPr>
      <t>og</t>
    </r>
    <r>
      <rPr>
        <sz val="14"/>
        <color rgb="FFFFFF00"/>
        <rFont val="Arial"/>
        <family val="2"/>
      </rPr>
      <t xml:space="preserve"> </t>
    </r>
    <r>
      <rPr>
        <b/>
        <sz val="14"/>
        <color rgb="FFFFFF00"/>
        <rFont val="Arial"/>
        <family val="2"/>
      </rPr>
      <t>E19</t>
    </r>
    <r>
      <rPr>
        <sz val="14"/>
        <rFont val="Arial"/>
        <family val="2"/>
      </rPr>
      <t xml:space="preserve"> ovenfor. Man kan kun anvende hele</t>
    </r>
  </si>
  <si>
    <r>
      <t xml:space="preserve">Udarbejdet af Jørgen Walter </t>
    </r>
    <r>
      <rPr>
        <b/>
        <sz val="14"/>
        <color indexed="8"/>
        <rFont val="Arial"/>
        <family val="2"/>
      </rPr>
      <t>©</t>
    </r>
  </si>
  <si>
    <t>tal for lage % og antal liter vand. Området dækker en lage saltning fra 1% til 25%.</t>
  </si>
  <si>
    <r>
      <t xml:space="preserve">Omregnet til </t>
    </r>
    <r>
      <rPr>
        <sz val="14"/>
        <rFont val="Calibri"/>
        <family val="2"/>
      </rPr>
      <t>⁰</t>
    </r>
    <r>
      <rPr>
        <sz val="14"/>
        <rFont val="Arial"/>
        <family val="2"/>
      </rPr>
      <t xml:space="preserve">Baumé er det ca. fra 1 ⁰Baumé ti 23 ⁰Baumé. Resultat aflæses i celle </t>
    </r>
    <r>
      <rPr>
        <b/>
        <sz val="14"/>
        <color rgb="FF00B050"/>
        <rFont val="Arial"/>
        <family val="2"/>
      </rPr>
      <t>A8.</t>
    </r>
  </si>
  <si>
    <t>Det er den totale saltmængde, der aflæses. Hvis man vil bruge nitritsalt trækkes mængden af</t>
  </si>
  <si>
    <t>nitritsalt fra den aflæste værdi.  Brug "Ark Salt" for andre vilkårlige værdier end her.</t>
  </si>
  <si>
    <t>I Danmark bruges normal salt tilsat 0,6% nitrit. Denne varer kan købes på nettet til ca. 25,00 DKK per kg.</t>
  </si>
  <si>
    <t>Man bruger kun den nødvendige mængde nitritsalt, som giver max 120 mg nitrit per kg kød. Se min "Hjemmeside".</t>
  </si>
  <si>
    <t>Find på forsiden "Beregning af mg nitrit per kg kød med 0,6% nitritsalt" for at beregne mængden af nitritsalt.</t>
  </si>
  <si>
    <t>https://www.walter-lystfisker.dk</t>
  </si>
  <si>
    <t>og vægten af vand til 1500 g. Salt og sukker aflæses til 37,5 g og 10 g (Vand MIN 1500 g)</t>
  </si>
  <si>
    <t>eller (Vand MAX 3000 g) og salt og sukker aflæses til 60 g og 16 g .</t>
  </si>
  <si>
    <t>Der er valgt en: Mellem saltning 1,5 % salt og 0,4 % sukkerlage</t>
  </si>
  <si>
    <t>Du kan ændre alle værdier i de gule celler. Men prøv altid at komme frem til et helt tal</t>
  </si>
  <si>
    <t>Beregn MIN og MAX for vand herunder ved at indsætte gram kød.</t>
  </si>
  <si>
    <t>for vægten af vand og kød. Forholdet mellem vand og kød bør ligge mellem 1,5 og 3 gange.</t>
  </si>
  <si>
    <t>Beregning af Salt vægt %, Vægtfylde ρ [rho] og °Baumé af en saltlage til røgning af fisk og kød</t>
  </si>
  <si>
    <r>
      <t xml:space="preserve">Vandtemperaturen skal være 15,5 </t>
    </r>
    <r>
      <rPr>
        <b/>
        <sz val="12"/>
        <color rgb="FF00B050"/>
        <rFont val="Calibri"/>
        <family val="2"/>
      </rPr>
      <t>⁰</t>
    </r>
    <r>
      <rPr>
        <b/>
        <sz val="12"/>
        <color rgb="FF00B050"/>
        <rFont val="Arial"/>
        <family val="2"/>
      </rPr>
      <t xml:space="preserve">C for at </t>
    </r>
    <r>
      <rPr>
        <b/>
        <sz val="12"/>
        <color rgb="FF00B050"/>
        <rFont val="Calibri"/>
        <family val="2"/>
      </rPr>
      <t>⁰</t>
    </r>
    <r>
      <rPr>
        <b/>
        <sz val="12"/>
        <color rgb="FF00B050"/>
        <rFont val="Arial"/>
        <family val="2"/>
      </rPr>
      <t>Baumé                                             skal være korrekt beregnet</t>
    </r>
  </si>
  <si>
    <t xml:space="preserve">https://www.handymath.com/cgi-bin/nacltble.cgi?submit=Back+to+Calculator&amp;tmptr=&amp;spcfgrv=&amp;conc= </t>
  </si>
  <si>
    <t>Prøv dette website og sammenlig mine beregninger med denne salt kalkulator</t>
  </si>
  <si>
    <r>
      <t xml:space="preserve">Indsæt i min: 15,5 </t>
    </r>
    <r>
      <rPr>
        <sz val="12"/>
        <rFont val="Calibri"/>
        <family val="2"/>
      </rPr>
      <t>⁰</t>
    </r>
    <r>
      <rPr>
        <sz val="12"/>
        <rFont val="Arial"/>
        <family val="2"/>
      </rPr>
      <t>C - 3000 g vand - 500 g salt aflæs 1,11 g/ml = 1,11 Kg/L</t>
    </r>
  </si>
  <si>
    <r>
      <t xml:space="preserve">Indsæt i Handymath: 15.5 </t>
    </r>
    <r>
      <rPr>
        <sz val="12"/>
        <rFont val="Calibri"/>
        <family val="2"/>
      </rPr>
      <t>⁰</t>
    </r>
    <r>
      <rPr>
        <sz val="12"/>
        <rFont val="Arial"/>
        <family val="2"/>
      </rPr>
      <t>C - 14.3 i vægt % tast Calculate og aflæs 1.10506 Kg/L = 1.11 Kg/L , når der rundes op</t>
    </r>
  </si>
  <si>
    <r>
      <rPr>
        <b/>
        <sz val="12"/>
        <rFont val="Arial"/>
        <family val="2"/>
      </rPr>
      <t>NB:</t>
    </r>
    <r>
      <rPr>
        <sz val="12"/>
        <rFont val="Arial"/>
        <family val="2"/>
      </rPr>
      <t xml:space="preserve"> Husk altid at bruge </t>
    </r>
    <r>
      <rPr>
        <b/>
        <sz val="14"/>
        <rFont val="Arial"/>
        <family val="2"/>
      </rPr>
      <t xml:space="preserve">. </t>
    </r>
    <r>
      <rPr>
        <sz val="12"/>
        <rFont val="Arial"/>
        <family val="2"/>
      </rPr>
      <t>Punktum i programmer på nettet.</t>
    </r>
  </si>
  <si>
    <t>I formlen er brugt KCl i stedet for NaCl men det har ingen betydning for rigtigheden af masseprocentligningen</t>
  </si>
  <si>
    <t xml:space="preserve">https://da.wikipedia.org/wiki/Kaliumklorid </t>
  </si>
  <si>
    <t>Disse billeder af tre forskellige slags salt illustrerer deres variation, der går fra flaget til kubisk til granulært. Hvert mærke er lidt anderledes, selvom de sælges under samme navn:</t>
  </si>
  <si>
    <t>Forholdet mellem salt og luft afhænger af,</t>
  </si>
  <si>
    <t>hvor tæt disse underligt formede partikler kan pakkes</t>
  </si>
  <si>
    <t>Hvis du måler en "kop" salt, kan hvert mærke afvige</t>
  </si>
  <si>
    <t>i vægt med mere end en faktor to!</t>
  </si>
  <si>
    <t>The ratio of salt to air depends on how tightly these oddly shaped</t>
  </si>
  <si>
    <r>
      <t>particles can be packed</t>
    </r>
    <r>
      <rPr>
        <sz val="14"/>
        <color rgb="FF000000"/>
        <rFont val="Calibri"/>
        <family val="2"/>
      </rPr>
      <t>. If you measure out a "cup" of salt,</t>
    </r>
  </si>
  <si>
    <t>each brand might differ in weight by more than a factor of two!</t>
  </si>
  <si>
    <t>aftensmad kan være oversaltet med fine havpartikler og undersaltet</t>
  </si>
  <si>
    <t>Temmelig vigtigt, hvis en opskrift kræver "en spiseskefuld salt",</t>
  </si>
  <si>
    <t>med Kosher-flager. Selvfølgelig, hvis opskrifter brugte vægt i stedet</t>
  </si>
  <si>
    <t>for volumenmål, ville der ikke være et problem. En ounce salt er</t>
  </si>
  <si>
    <t>at måle den ounce.</t>
  </si>
  <si>
    <t>en ounce saltatomer uanset, hvor mange spiseskefulde det tager</t>
  </si>
  <si>
    <t>Pretty important if a recipe calls for "one tablespoon of salt",</t>
  </si>
  <si>
    <t>dinner might be over salted with fine sea particles, and under salted</t>
  </si>
  <si>
    <t>with Kosher flakes. Of course, if recipes used weight instead of volume</t>
  </si>
  <si>
    <t>measures, there wouldn't be a problem. One ounce of salt is one</t>
  </si>
  <si>
    <t>ounce of salt atoms, no matter how many tablespoons it takes to</t>
  </si>
  <si>
    <t>measure out that ounce.</t>
  </si>
  <si>
    <t/>
  </si>
  <si>
    <t>100g vand til ml</t>
  </si>
  <si>
    <t>Man bruger fra 0,2 %  til 1% salt af kødets vægt. Tiden afhænger af størrelsen på kødstykkerne.</t>
  </si>
</sst>
</file>

<file path=xl/styles.xml><?xml version="1.0" encoding="utf-8"?>
<styleSheet xmlns="http://schemas.openxmlformats.org/spreadsheetml/2006/main">
  <numFmts count="7">
    <numFmt numFmtId="164" formatCode="0.0000000"/>
    <numFmt numFmtId="165" formatCode="0.000"/>
    <numFmt numFmtId="166" formatCode="0.0%"/>
    <numFmt numFmtId="167" formatCode="0.0"/>
    <numFmt numFmtId="168" formatCode="0.0000"/>
    <numFmt numFmtId="169" formatCode="_ * #,##0.000_ ;_ * \-#,##0.000_ ;_ * &quot;-&quot;???_ ;_ @_ "/>
    <numFmt numFmtId="170" formatCode="0.000000"/>
  </numFmts>
  <fonts count="73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u/>
      <sz val="12"/>
      <color theme="3"/>
      <name val="Arial"/>
      <family val="2"/>
    </font>
    <font>
      <u/>
      <sz val="10"/>
      <color theme="3"/>
      <name val="Arial"/>
      <family val="2"/>
    </font>
    <font>
      <sz val="12"/>
      <color rgb="FF333333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333333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000000"/>
      <name val="Verdana"/>
      <family val="2"/>
    </font>
    <font>
      <u/>
      <sz val="12"/>
      <color theme="10"/>
      <name val="Arial"/>
      <family val="2"/>
    </font>
    <font>
      <b/>
      <sz val="12"/>
      <color theme="4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Arial"/>
      <family val="2"/>
    </font>
    <font>
      <b/>
      <sz val="18"/>
      <color rgb="FF0070C0"/>
      <name val="Arial"/>
      <family val="2"/>
    </font>
    <font>
      <b/>
      <sz val="18"/>
      <color rgb="FF7030A0"/>
      <name val="Arial"/>
      <family val="2"/>
    </font>
    <font>
      <sz val="18"/>
      <color rgb="FFFF0000"/>
      <name val="Arial"/>
      <family val="2"/>
    </font>
    <font>
      <b/>
      <sz val="12"/>
      <color rgb="FF2D2D2D"/>
      <name val="Arial"/>
      <family val="2"/>
    </font>
    <font>
      <b/>
      <sz val="14"/>
      <color rgb="FF00B050"/>
      <name val="Arial"/>
      <family val="2"/>
    </font>
    <font>
      <b/>
      <sz val="12"/>
      <color theme="9"/>
      <name val="Arial"/>
      <family val="2"/>
    </font>
    <font>
      <b/>
      <sz val="14"/>
      <color theme="9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rgb="FF1A1A1A"/>
      <name val="Georgia"/>
      <family val="1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1A1A1A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1A1A1A"/>
      <name val="Georgia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1.7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6" tint="0.79998168889431442"/>
      <name val="Calibri"/>
      <family val="2"/>
      <scheme val="minor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u/>
      <sz val="14"/>
      <color theme="10"/>
      <name val="Calibri"/>
      <family val="2"/>
    </font>
    <font>
      <b/>
      <sz val="14"/>
      <color indexed="8"/>
      <name val="Calibri"/>
      <family val="2"/>
    </font>
    <font>
      <u/>
      <sz val="14"/>
      <color theme="10"/>
      <name val="Arial"/>
      <family val="2"/>
    </font>
    <font>
      <sz val="13"/>
      <color rgb="FF404040"/>
      <name val="Arial"/>
      <family val="2"/>
    </font>
    <font>
      <i/>
      <sz val="13"/>
      <color rgb="FF404040"/>
      <name val="Arial"/>
      <family val="2"/>
    </font>
    <font>
      <vertAlign val="superscript"/>
      <sz val="12"/>
      <color rgb="FF000000"/>
      <name val="Arial"/>
      <family val="2"/>
    </font>
    <font>
      <b/>
      <sz val="12"/>
      <color rgb="FF00B050"/>
      <name val="Calibri"/>
      <family val="2"/>
    </font>
    <font>
      <sz val="16"/>
      <name val="Arial"/>
      <family val="2"/>
    </font>
    <font>
      <sz val="18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8" tint="0.79998168889431442"/>
      <name val="Arial"/>
      <family val="2"/>
    </font>
    <font>
      <b/>
      <sz val="14"/>
      <color rgb="FFFFFF00"/>
      <name val="Arial"/>
      <family val="2"/>
    </font>
    <font>
      <sz val="14"/>
      <color rgb="FFFFFF00"/>
      <name val="Arial"/>
      <family val="2"/>
    </font>
    <font>
      <b/>
      <sz val="14"/>
      <color indexed="8"/>
      <name val="Arial"/>
      <family val="2"/>
    </font>
    <font>
      <sz val="14"/>
      <name val="Calibri"/>
      <family val="2"/>
    </font>
    <font>
      <sz val="12"/>
      <color theme="0" tint="-4.9989318521683403E-2"/>
      <name val="Arial"/>
      <family val="2"/>
    </font>
    <font>
      <sz val="12"/>
      <color theme="6" tint="0.79998168889431442"/>
      <name val="Arial"/>
      <family val="2"/>
    </font>
    <font>
      <sz val="12"/>
      <color theme="4" tint="0.79998168889431442"/>
      <name val="Arial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573">
    <xf numFmtId="0" fontId="0" fillId="0" borderId="0" xfId="0"/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0" xfId="1" applyFont="1" applyFill="1" applyAlignment="1" applyProtection="1"/>
    <xf numFmtId="0" fontId="4" fillId="0" borderId="0" xfId="0" applyFont="1"/>
    <xf numFmtId="0" fontId="4" fillId="0" borderId="0" xfId="0" applyFont="1" applyAlignment="1">
      <alignment horizontal="center"/>
    </xf>
    <xf numFmtId="0" fontId="4" fillId="4" borderId="0" xfId="0" applyFont="1" applyFill="1"/>
    <xf numFmtId="0" fontId="18" fillId="4" borderId="0" xfId="0" applyFont="1" applyFill="1" applyBorder="1" applyAlignment="1">
      <alignment vertical="center"/>
    </xf>
    <xf numFmtId="0" fontId="4" fillId="4" borderId="0" xfId="0" applyFont="1" applyFill="1" applyAlignment="1">
      <alignment horizontal="center"/>
    </xf>
    <xf numFmtId="0" fontId="4" fillId="4" borderId="0" xfId="0" applyNumberFormat="1" applyFont="1" applyFill="1"/>
    <xf numFmtId="0" fontId="4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/>
    </xf>
    <xf numFmtId="0" fontId="18" fillId="4" borderId="0" xfId="0" applyFont="1" applyFill="1"/>
    <xf numFmtId="0" fontId="27" fillId="4" borderId="0" xfId="0" applyFont="1" applyFill="1" applyAlignment="1">
      <alignment horizontal="center" vertical="center"/>
    </xf>
    <xf numFmtId="0" fontId="4" fillId="5" borderId="30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1" fontId="4" fillId="5" borderId="24" xfId="0" applyNumberFormat="1" applyFont="1" applyFill="1" applyBorder="1" applyAlignment="1">
      <alignment horizontal="center" vertical="center"/>
    </xf>
    <xf numFmtId="1" fontId="4" fillId="5" borderId="25" xfId="0" applyNumberFormat="1" applyFont="1" applyFill="1" applyBorder="1" applyAlignment="1">
      <alignment horizontal="center" vertical="center"/>
    </xf>
    <xf numFmtId="165" fontId="4" fillId="5" borderId="25" xfId="0" applyNumberFormat="1" applyFont="1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167" fontId="4" fillId="5" borderId="27" xfId="0" applyNumberFormat="1" applyFont="1" applyFill="1" applyBorder="1" applyAlignment="1">
      <alignment horizontal="center" vertical="center"/>
    </xf>
    <xf numFmtId="167" fontId="4" fillId="5" borderId="18" xfId="0" applyNumberFormat="1" applyFont="1" applyFill="1" applyBorder="1" applyAlignment="1">
      <alignment horizontal="center" vertical="center"/>
    </xf>
    <xf numFmtId="167" fontId="4" fillId="5" borderId="30" xfId="0" applyNumberFormat="1" applyFont="1" applyFill="1" applyBorder="1" applyAlignment="1">
      <alignment horizontal="center" vertical="center"/>
    </xf>
    <xf numFmtId="1" fontId="4" fillId="5" borderId="19" xfId="0" applyNumberFormat="1" applyFont="1" applyFill="1" applyBorder="1" applyAlignment="1">
      <alignment horizontal="center" vertical="center"/>
    </xf>
    <xf numFmtId="165" fontId="4" fillId="5" borderId="19" xfId="0" applyNumberFormat="1" applyFont="1" applyFill="1" applyBorder="1" applyAlignment="1">
      <alignment horizontal="center" vertical="center"/>
    </xf>
    <xf numFmtId="167" fontId="4" fillId="5" borderId="19" xfId="0" applyNumberFormat="1" applyFont="1" applyFill="1" applyBorder="1" applyAlignment="1">
      <alignment horizontal="center" vertical="center"/>
    </xf>
    <xf numFmtId="167" fontId="4" fillId="5" borderId="20" xfId="0" applyNumberFormat="1" applyFont="1" applyFill="1" applyBorder="1" applyAlignment="1">
      <alignment horizontal="center" vertical="center"/>
    </xf>
    <xf numFmtId="167" fontId="4" fillId="5" borderId="24" xfId="0" applyNumberFormat="1" applyFont="1" applyFill="1" applyBorder="1" applyAlignment="1">
      <alignment horizontal="center" vertical="center"/>
    </xf>
    <xf numFmtId="167" fontId="4" fillId="5" borderId="25" xfId="0" applyNumberFormat="1" applyFont="1" applyFill="1" applyBorder="1" applyAlignment="1">
      <alignment horizontal="center" vertical="center"/>
    </xf>
    <xf numFmtId="167" fontId="4" fillId="5" borderId="26" xfId="0" applyNumberFormat="1" applyFont="1" applyFill="1" applyBorder="1" applyAlignment="1">
      <alignment horizontal="center" vertical="center"/>
    </xf>
    <xf numFmtId="167" fontId="4" fillId="5" borderId="34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7" fontId="4" fillId="5" borderId="3" xfId="0" applyNumberFormat="1" applyFont="1" applyFill="1" applyBorder="1" applyAlignment="1">
      <alignment horizontal="center" vertical="center"/>
    </xf>
    <xf numFmtId="167" fontId="4" fillId="5" borderId="35" xfId="0" applyNumberFormat="1" applyFont="1" applyFill="1" applyBorder="1" applyAlignment="1">
      <alignment horizontal="center" vertical="center"/>
    </xf>
    <xf numFmtId="167" fontId="23" fillId="5" borderId="24" xfId="0" applyNumberFormat="1" applyFont="1" applyFill="1" applyBorder="1" applyAlignment="1">
      <alignment horizontal="center" vertical="center"/>
    </xf>
    <xf numFmtId="1" fontId="23" fillId="5" borderId="25" xfId="0" applyNumberFormat="1" applyFont="1" applyFill="1" applyBorder="1" applyAlignment="1">
      <alignment horizontal="center" vertical="center"/>
    </xf>
    <xf numFmtId="165" fontId="23" fillId="5" borderId="25" xfId="0" applyNumberFormat="1" applyFont="1" applyFill="1" applyBorder="1" applyAlignment="1">
      <alignment horizontal="center" vertical="center"/>
    </xf>
    <xf numFmtId="167" fontId="23" fillId="5" borderId="25" xfId="0" applyNumberFormat="1" applyFont="1" applyFill="1" applyBorder="1" applyAlignment="1">
      <alignment horizontal="center" vertical="center"/>
    </xf>
    <xf numFmtId="167" fontId="23" fillId="5" borderId="27" xfId="0" applyNumberFormat="1" applyFont="1" applyFill="1" applyBorder="1" applyAlignment="1">
      <alignment horizontal="center" vertical="center"/>
    </xf>
    <xf numFmtId="1" fontId="23" fillId="5" borderId="1" xfId="0" applyNumberFormat="1" applyFont="1" applyFill="1" applyBorder="1" applyAlignment="1">
      <alignment horizontal="center" vertical="center"/>
    </xf>
    <xf numFmtId="165" fontId="23" fillId="5" borderId="1" xfId="0" applyNumberFormat="1" applyFont="1" applyFill="1" applyBorder="1" applyAlignment="1">
      <alignment horizontal="center" vertical="center"/>
    </xf>
    <xf numFmtId="167" fontId="23" fillId="5" borderId="1" xfId="0" applyNumberFormat="1" applyFont="1" applyFill="1" applyBorder="1" applyAlignment="1">
      <alignment horizontal="center" vertical="center"/>
    </xf>
    <xf numFmtId="167" fontId="23" fillId="5" borderId="30" xfId="0" applyNumberFormat="1" applyFont="1" applyFill="1" applyBorder="1" applyAlignment="1">
      <alignment horizontal="center" vertical="center"/>
    </xf>
    <xf numFmtId="1" fontId="23" fillId="5" borderId="19" xfId="0" applyNumberFormat="1" applyFont="1" applyFill="1" applyBorder="1" applyAlignment="1">
      <alignment horizontal="center" vertical="center"/>
    </xf>
    <xf numFmtId="165" fontId="23" fillId="5" borderId="19" xfId="0" applyNumberFormat="1" applyFont="1" applyFill="1" applyBorder="1" applyAlignment="1">
      <alignment horizontal="center" vertical="center"/>
    </xf>
    <xf numFmtId="167" fontId="23" fillId="5" borderId="19" xfId="0" applyNumberFormat="1" applyFont="1" applyFill="1" applyBorder="1" applyAlignment="1">
      <alignment horizontal="center" vertical="center"/>
    </xf>
    <xf numFmtId="167" fontId="4" fillId="5" borderId="28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7" fontId="4" fillId="5" borderId="4" xfId="0" applyNumberFormat="1" applyFont="1" applyFill="1" applyBorder="1" applyAlignment="1">
      <alignment horizontal="center" vertical="center"/>
    </xf>
    <xf numFmtId="167" fontId="4" fillId="5" borderId="29" xfId="0" applyNumberFormat="1" applyFont="1" applyFill="1" applyBorder="1" applyAlignment="1">
      <alignment horizontal="center" vertical="center"/>
    </xf>
    <xf numFmtId="167" fontId="24" fillId="5" borderId="30" xfId="0" applyNumberFormat="1" applyFont="1" applyFill="1" applyBorder="1" applyAlignment="1">
      <alignment horizontal="center" vertical="center"/>
    </xf>
    <xf numFmtId="167" fontId="24" fillId="5" borderId="19" xfId="0" applyNumberFormat="1" applyFont="1" applyFill="1" applyBorder="1" applyAlignment="1">
      <alignment horizontal="center" vertical="center"/>
    </xf>
    <xf numFmtId="165" fontId="24" fillId="5" borderId="19" xfId="0" applyNumberFormat="1" applyFont="1" applyFill="1" applyBorder="1" applyAlignment="1">
      <alignment horizontal="center" vertical="center"/>
    </xf>
    <xf numFmtId="167" fontId="17" fillId="5" borderId="30" xfId="0" applyNumberFormat="1" applyFont="1" applyFill="1" applyBorder="1" applyAlignment="1">
      <alignment horizontal="center" vertical="center"/>
    </xf>
    <xf numFmtId="1" fontId="17" fillId="5" borderId="19" xfId="0" applyNumberFormat="1" applyFont="1" applyFill="1" applyBorder="1" applyAlignment="1">
      <alignment horizontal="center" vertical="center"/>
    </xf>
    <xf numFmtId="165" fontId="17" fillId="5" borderId="19" xfId="0" applyNumberFormat="1" applyFont="1" applyFill="1" applyBorder="1" applyAlignment="1">
      <alignment horizontal="center" vertical="center"/>
    </xf>
    <xf numFmtId="167" fontId="17" fillId="5" borderId="19" xfId="0" applyNumberFormat="1" applyFont="1" applyFill="1" applyBorder="1" applyAlignment="1">
      <alignment horizontal="center" vertical="center"/>
    </xf>
    <xf numFmtId="167" fontId="17" fillId="5" borderId="20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167" fontId="18" fillId="4" borderId="0" xfId="0" applyNumberFormat="1" applyFont="1" applyFill="1" applyAlignment="1">
      <alignment horizontal="center" vertical="center"/>
    </xf>
    <xf numFmtId="167" fontId="23" fillId="5" borderId="28" xfId="0" applyNumberFormat="1" applyFont="1" applyFill="1" applyBorder="1" applyAlignment="1">
      <alignment horizontal="center" vertical="center"/>
    </xf>
    <xf numFmtId="1" fontId="23" fillId="5" borderId="4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167" fontId="23" fillId="5" borderId="4" xfId="0" applyNumberFormat="1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167" fontId="23" fillId="5" borderId="22" xfId="0" applyNumberFormat="1" applyFont="1" applyFill="1" applyBorder="1" applyAlignment="1">
      <alignment horizontal="center" vertical="center"/>
    </xf>
    <xf numFmtId="167" fontId="23" fillId="5" borderId="15" xfId="0" applyNumberFormat="1" applyFont="1" applyFill="1" applyBorder="1" applyAlignment="1">
      <alignment horizontal="center" vertical="center"/>
    </xf>
    <xf numFmtId="167" fontId="23" fillId="5" borderId="36" xfId="0" applyNumberFormat="1" applyFont="1" applyFill="1" applyBorder="1" applyAlignment="1">
      <alignment horizontal="center" vertical="center"/>
    </xf>
    <xf numFmtId="167" fontId="23" fillId="5" borderId="37" xfId="0" applyNumberFormat="1" applyFont="1" applyFill="1" applyBorder="1" applyAlignment="1">
      <alignment horizontal="center" vertical="center"/>
    </xf>
    <xf numFmtId="2" fontId="24" fillId="5" borderId="20" xfId="0" applyNumberFormat="1" applyFont="1" applyFill="1" applyBorder="1" applyAlignment="1">
      <alignment horizontal="center" vertical="center"/>
    </xf>
    <xf numFmtId="0" fontId="4" fillId="4" borderId="0" xfId="0" applyFont="1" applyFill="1" applyProtection="1">
      <protection hidden="1"/>
    </xf>
    <xf numFmtId="0" fontId="18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167" fontId="30" fillId="5" borderId="27" xfId="0" applyNumberFormat="1" applyFont="1" applyFill="1" applyBorder="1" applyAlignment="1">
      <alignment horizontal="center" vertical="center"/>
    </xf>
    <xf numFmtId="1" fontId="30" fillId="5" borderId="1" xfId="0" applyNumberFormat="1" applyFont="1" applyFill="1" applyBorder="1" applyAlignment="1">
      <alignment horizontal="center" vertical="center"/>
    </xf>
    <xf numFmtId="165" fontId="30" fillId="5" borderId="1" xfId="0" applyNumberFormat="1" applyFont="1" applyFill="1" applyBorder="1" applyAlignment="1">
      <alignment horizontal="center" vertical="center"/>
    </xf>
    <xf numFmtId="167" fontId="30" fillId="5" borderId="1" xfId="0" applyNumberFormat="1" applyFont="1" applyFill="1" applyBorder="1" applyAlignment="1">
      <alignment horizontal="center" vertical="center"/>
    </xf>
    <xf numFmtId="167" fontId="30" fillId="5" borderId="18" xfId="0" applyNumberFormat="1" applyFont="1" applyFill="1" applyBorder="1" applyAlignment="1">
      <alignment horizontal="center" vertical="center"/>
    </xf>
    <xf numFmtId="167" fontId="30" fillId="5" borderId="30" xfId="0" applyNumberFormat="1" applyFont="1" applyFill="1" applyBorder="1" applyAlignment="1">
      <alignment horizontal="center" vertical="center"/>
    </xf>
    <xf numFmtId="1" fontId="30" fillId="5" borderId="19" xfId="0" applyNumberFormat="1" applyFont="1" applyFill="1" applyBorder="1" applyAlignment="1">
      <alignment horizontal="center" vertical="center"/>
    </xf>
    <xf numFmtId="165" fontId="30" fillId="5" borderId="19" xfId="0" applyNumberFormat="1" applyFont="1" applyFill="1" applyBorder="1" applyAlignment="1">
      <alignment horizontal="center" vertical="center"/>
    </xf>
    <xf numFmtId="167" fontId="30" fillId="5" borderId="19" xfId="0" applyNumberFormat="1" applyFont="1" applyFill="1" applyBorder="1" applyAlignment="1">
      <alignment horizontal="center" vertical="center"/>
    </xf>
    <xf numFmtId="167" fontId="30" fillId="5" borderId="20" xfId="0" applyNumberFormat="1" applyFont="1" applyFill="1" applyBorder="1" applyAlignment="1">
      <alignment horizontal="center" vertical="center"/>
    </xf>
    <xf numFmtId="167" fontId="30" fillId="5" borderId="24" xfId="0" applyNumberFormat="1" applyFont="1" applyFill="1" applyBorder="1" applyAlignment="1">
      <alignment horizontal="center" vertical="center"/>
    </xf>
    <xf numFmtId="1" fontId="30" fillId="5" borderId="25" xfId="0" applyNumberFormat="1" applyFont="1" applyFill="1" applyBorder="1" applyAlignment="1">
      <alignment horizontal="center" vertical="center"/>
    </xf>
    <xf numFmtId="165" fontId="30" fillId="5" borderId="25" xfId="0" applyNumberFormat="1" applyFont="1" applyFill="1" applyBorder="1" applyAlignment="1">
      <alignment horizontal="center" vertical="center"/>
    </xf>
    <xf numFmtId="167" fontId="30" fillId="5" borderId="25" xfId="0" applyNumberFormat="1" applyFont="1" applyFill="1" applyBorder="1" applyAlignment="1">
      <alignment horizontal="center" vertical="center"/>
    </xf>
    <xf numFmtId="167" fontId="30" fillId="5" borderId="26" xfId="0" applyNumberFormat="1" applyFont="1" applyFill="1" applyBorder="1" applyAlignment="1">
      <alignment horizontal="center" vertical="center"/>
    </xf>
    <xf numFmtId="2" fontId="4" fillId="5" borderId="34" xfId="0" applyNumberFormat="1" applyFont="1" applyFill="1" applyBorder="1" applyAlignment="1">
      <alignment horizontal="center" vertical="center"/>
    </xf>
    <xf numFmtId="2" fontId="4" fillId="5" borderId="35" xfId="0" applyNumberFormat="1" applyFont="1" applyFill="1" applyBorder="1" applyAlignment="1">
      <alignment horizontal="center" vertical="center"/>
    </xf>
    <xf numFmtId="167" fontId="22" fillId="5" borderId="28" xfId="0" applyNumberFormat="1" applyFont="1" applyFill="1" applyBorder="1" applyAlignment="1">
      <alignment horizontal="center" vertical="center"/>
    </xf>
    <xf numFmtId="1" fontId="22" fillId="5" borderId="4" xfId="0" applyNumberFormat="1" applyFont="1" applyFill="1" applyBorder="1" applyAlignment="1">
      <alignment horizontal="center" vertical="center"/>
    </xf>
    <xf numFmtId="165" fontId="22" fillId="5" borderId="4" xfId="0" applyNumberFormat="1" applyFont="1" applyFill="1" applyBorder="1" applyAlignment="1">
      <alignment horizontal="center" vertical="center"/>
    </xf>
    <xf numFmtId="167" fontId="22" fillId="5" borderId="4" xfId="0" applyNumberFormat="1" applyFont="1" applyFill="1" applyBorder="1" applyAlignment="1">
      <alignment horizontal="center" vertical="center"/>
    </xf>
    <xf numFmtId="167" fontId="22" fillId="5" borderId="29" xfId="0" applyNumberFormat="1" applyFont="1" applyFill="1" applyBorder="1" applyAlignment="1">
      <alignment horizontal="center" vertical="center"/>
    </xf>
    <xf numFmtId="167" fontId="30" fillId="5" borderId="28" xfId="0" applyNumberFormat="1" applyFont="1" applyFill="1" applyBorder="1" applyAlignment="1">
      <alignment horizontal="center" vertical="center"/>
    </xf>
    <xf numFmtId="1" fontId="30" fillId="5" borderId="4" xfId="0" applyNumberFormat="1" applyFont="1" applyFill="1" applyBorder="1" applyAlignment="1">
      <alignment horizontal="center" vertical="center"/>
    </xf>
    <xf numFmtId="165" fontId="30" fillId="5" borderId="4" xfId="0" applyNumberFormat="1" applyFont="1" applyFill="1" applyBorder="1" applyAlignment="1">
      <alignment horizontal="center" vertical="center"/>
    </xf>
    <xf numFmtId="167" fontId="30" fillId="5" borderId="4" xfId="0" applyNumberFormat="1" applyFont="1" applyFill="1" applyBorder="1" applyAlignment="1">
      <alignment horizontal="center" vertical="center"/>
    </xf>
    <xf numFmtId="167" fontId="30" fillId="5" borderId="29" xfId="0" applyNumberFormat="1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167" fontId="18" fillId="5" borderId="24" xfId="0" applyNumberFormat="1" applyFont="1" applyFill="1" applyBorder="1" applyAlignment="1">
      <alignment horizontal="center" vertical="center"/>
    </xf>
    <xf numFmtId="1" fontId="18" fillId="5" borderId="25" xfId="0" applyNumberFormat="1" applyFont="1" applyFill="1" applyBorder="1" applyAlignment="1">
      <alignment horizontal="center" vertical="center"/>
    </xf>
    <xf numFmtId="165" fontId="18" fillId="5" borderId="25" xfId="0" applyNumberFormat="1" applyFont="1" applyFill="1" applyBorder="1" applyAlignment="1">
      <alignment horizontal="center" vertical="center"/>
    </xf>
    <xf numFmtId="167" fontId="18" fillId="5" borderId="25" xfId="0" applyNumberFormat="1" applyFont="1" applyFill="1" applyBorder="1" applyAlignment="1">
      <alignment horizontal="center" vertical="center"/>
    </xf>
    <xf numFmtId="167" fontId="18" fillId="5" borderId="26" xfId="0" applyNumberFormat="1" applyFont="1" applyFill="1" applyBorder="1" applyAlignment="1">
      <alignment horizontal="center" vertical="center"/>
    </xf>
    <xf numFmtId="167" fontId="18" fillId="5" borderId="27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65" fontId="18" fillId="5" borderId="1" xfId="0" applyNumberFormat="1" applyFont="1" applyFill="1" applyBorder="1" applyAlignment="1">
      <alignment horizontal="center" vertical="center"/>
    </xf>
    <xf numFmtId="167" fontId="18" fillId="5" borderId="1" xfId="0" applyNumberFormat="1" applyFont="1" applyFill="1" applyBorder="1" applyAlignment="1">
      <alignment horizontal="center" vertical="center"/>
    </xf>
    <xf numFmtId="167" fontId="18" fillId="5" borderId="18" xfId="0" applyNumberFormat="1" applyFont="1" applyFill="1" applyBorder="1" applyAlignment="1">
      <alignment horizontal="center" vertical="center"/>
    </xf>
    <xf numFmtId="167" fontId="18" fillId="5" borderId="30" xfId="0" applyNumberFormat="1" applyFont="1" applyFill="1" applyBorder="1" applyAlignment="1">
      <alignment horizontal="center" vertical="center"/>
    </xf>
    <xf numFmtId="1" fontId="18" fillId="5" borderId="19" xfId="0" applyNumberFormat="1" applyFont="1" applyFill="1" applyBorder="1" applyAlignment="1">
      <alignment horizontal="center" vertical="center"/>
    </xf>
    <xf numFmtId="165" fontId="18" fillId="5" borderId="19" xfId="0" applyNumberFormat="1" applyFont="1" applyFill="1" applyBorder="1" applyAlignment="1">
      <alignment horizontal="center" vertical="center"/>
    </xf>
    <xf numFmtId="167" fontId="18" fillId="5" borderId="19" xfId="0" applyNumberFormat="1" applyFont="1" applyFill="1" applyBorder="1" applyAlignment="1">
      <alignment horizontal="center" vertical="center"/>
    </xf>
    <xf numFmtId="167" fontId="18" fillId="5" borderId="20" xfId="0" applyNumberFormat="1" applyFont="1" applyFill="1" applyBorder="1" applyAlignment="1">
      <alignment horizontal="center" vertical="center"/>
    </xf>
    <xf numFmtId="0" fontId="32" fillId="0" borderId="0" xfId="0" applyFont="1"/>
    <xf numFmtId="0" fontId="32" fillId="4" borderId="25" xfId="0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/>
    </xf>
    <xf numFmtId="9" fontId="32" fillId="4" borderId="1" xfId="2" applyFont="1" applyFill="1" applyBorder="1" applyAlignment="1">
      <alignment horizontal="center" vertical="center"/>
    </xf>
    <xf numFmtId="166" fontId="32" fillId="4" borderId="18" xfId="2" applyNumberFormat="1" applyFont="1" applyFill="1" applyBorder="1" applyAlignment="1">
      <alignment horizontal="center" vertical="center"/>
    </xf>
    <xf numFmtId="166" fontId="32" fillId="4" borderId="1" xfId="2" applyNumberFormat="1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center" vertical="center"/>
    </xf>
    <xf numFmtId="0" fontId="32" fillId="2" borderId="27" xfId="2" applyNumberFormat="1" applyFont="1" applyFill="1" applyBorder="1" applyAlignment="1" applyProtection="1">
      <alignment horizontal="center" vertical="center"/>
      <protection locked="0"/>
    </xf>
    <xf numFmtId="0" fontId="32" fillId="2" borderId="1" xfId="2" applyNumberFormat="1" applyFont="1" applyFill="1" applyBorder="1" applyAlignment="1" applyProtection="1">
      <alignment horizontal="center" vertical="center"/>
      <protection locked="0"/>
    </xf>
    <xf numFmtId="0" fontId="32" fillId="4" borderId="1" xfId="2" applyNumberFormat="1" applyFont="1" applyFill="1" applyBorder="1" applyAlignment="1">
      <alignment horizontal="center" vertical="center"/>
    </xf>
    <xf numFmtId="167" fontId="32" fillId="4" borderId="1" xfId="2" applyNumberFormat="1" applyFont="1" applyFill="1" applyBorder="1" applyAlignment="1">
      <alignment horizontal="center" vertical="center"/>
    </xf>
    <xf numFmtId="167" fontId="32" fillId="4" borderId="18" xfId="2" applyNumberFormat="1" applyFont="1" applyFill="1" applyBorder="1" applyAlignment="1">
      <alignment horizontal="center" vertical="center"/>
    </xf>
    <xf numFmtId="0" fontId="38" fillId="2" borderId="27" xfId="2" applyNumberFormat="1" applyFont="1" applyFill="1" applyBorder="1" applyAlignment="1" applyProtection="1">
      <alignment horizontal="center" vertical="center"/>
      <protection locked="0"/>
    </xf>
    <xf numFmtId="0" fontId="38" fillId="2" borderId="1" xfId="2" applyNumberFormat="1" applyFont="1" applyFill="1" applyBorder="1" applyAlignment="1" applyProtection="1">
      <alignment horizontal="center" vertical="center"/>
      <protection locked="0"/>
    </xf>
    <xf numFmtId="0" fontId="38" fillId="4" borderId="1" xfId="2" applyNumberFormat="1" applyFont="1" applyFill="1" applyBorder="1" applyAlignment="1">
      <alignment horizontal="center" vertical="center"/>
    </xf>
    <xf numFmtId="167" fontId="38" fillId="4" borderId="1" xfId="2" applyNumberFormat="1" applyFont="1" applyFill="1" applyBorder="1" applyAlignment="1">
      <alignment horizontal="center" vertical="center"/>
    </xf>
    <xf numFmtId="167" fontId="38" fillId="4" borderId="18" xfId="2" applyNumberFormat="1" applyFont="1" applyFill="1" applyBorder="1" applyAlignment="1">
      <alignment horizontal="center" vertical="center"/>
    </xf>
    <xf numFmtId="0" fontId="32" fillId="2" borderId="30" xfId="2" applyNumberFormat="1" applyFont="1" applyFill="1" applyBorder="1" applyAlignment="1" applyProtection="1">
      <alignment horizontal="center" vertical="center"/>
      <protection locked="0"/>
    </xf>
    <xf numFmtId="0" fontId="32" fillId="2" borderId="19" xfId="2" applyNumberFormat="1" applyFont="1" applyFill="1" applyBorder="1" applyAlignment="1" applyProtection="1">
      <alignment horizontal="center" vertical="center"/>
      <protection locked="0"/>
    </xf>
    <xf numFmtId="0" fontId="32" fillId="4" borderId="19" xfId="2" applyNumberFormat="1" applyFont="1" applyFill="1" applyBorder="1" applyAlignment="1">
      <alignment horizontal="center" vertical="center"/>
    </xf>
    <xf numFmtId="167" fontId="32" fillId="4" borderId="19" xfId="2" applyNumberFormat="1" applyFont="1" applyFill="1" applyBorder="1" applyAlignment="1">
      <alignment horizontal="center" vertical="center"/>
    </xf>
    <xf numFmtId="167" fontId="32" fillId="4" borderId="20" xfId="2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38" fillId="6" borderId="1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vertical="center"/>
    </xf>
    <xf numFmtId="0" fontId="40" fillId="2" borderId="27" xfId="2" applyNumberFormat="1" applyFont="1" applyFill="1" applyBorder="1" applyAlignment="1" applyProtection="1">
      <alignment horizontal="center" vertical="center"/>
      <protection locked="0"/>
    </xf>
    <xf numFmtId="0" fontId="40" fillId="2" borderId="1" xfId="2" applyNumberFormat="1" applyFont="1" applyFill="1" applyBorder="1" applyAlignment="1" applyProtection="1">
      <alignment horizontal="center" vertical="center"/>
      <protection locked="0"/>
    </xf>
    <xf numFmtId="0" fontId="40" fillId="4" borderId="1" xfId="2" applyNumberFormat="1" applyFont="1" applyFill="1" applyBorder="1" applyAlignment="1">
      <alignment horizontal="center" vertical="center"/>
    </xf>
    <xf numFmtId="167" fontId="40" fillId="4" borderId="1" xfId="2" applyNumberFormat="1" applyFont="1" applyFill="1" applyBorder="1" applyAlignment="1">
      <alignment horizontal="center" vertical="center"/>
    </xf>
    <xf numFmtId="167" fontId="40" fillId="4" borderId="18" xfId="2" applyNumberFormat="1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32" fillId="6" borderId="9" xfId="0" applyFont="1" applyFill="1" applyBorder="1"/>
    <xf numFmtId="0" fontId="32" fillId="6" borderId="10" xfId="0" applyFont="1" applyFill="1" applyBorder="1"/>
    <xf numFmtId="0" fontId="32" fillId="6" borderId="11" xfId="0" applyFont="1" applyFill="1" applyBorder="1"/>
    <xf numFmtId="0" fontId="32" fillId="6" borderId="2" xfId="0" applyFont="1" applyFill="1" applyBorder="1"/>
    <xf numFmtId="0" fontId="34" fillId="6" borderId="0" xfId="0" applyFont="1" applyFill="1" applyBorder="1" applyAlignment="1">
      <alignment horizontal="left" vertical="center"/>
    </xf>
    <xf numFmtId="0" fontId="32" fillId="6" borderId="0" xfId="0" applyFont="1" applyFill="1" applyBorder="1"/>
    <xf numFmtId="0" fontId="36" fillId="6" borderId="0" xfId="0" applyFont="1" applyFill="1" applyBorder="1" applyAlignment="1">
      <alignment horizontal="left" vertical="center"/>
    </xf>
    <xf numFmtId="0" fontId="32" fillId="6" borderId="5" xfId="0" applyFont="1" applyFill="1" applyBorder="1"/>
    <xf numFmtId="0" fontId="37" fillId="6" borderId="0" xfId="0" applyFont="1" applyFill="1" applyBorder="1"/>
    <xf numFmtId="0" fontId="35" fillId="6" borderId="0" xfId="0" applyFont="1" applyFill="1" applyBorder="1"/>
    <xf numFmtId="0" fontId="32" fillId="6" borderId="0" xfId="2" applyNumberFormat="1" applyFont="1" applyFill="1" applyBorder="1" applyAlignment="1">
      <alignment horizontal="center"/>
    </xf>
    <xf numFmtId="0" fontId="32" fillId="6" borderId="0" xfId="0" applyNumberFormat="1" applyFont="1" applyFill="1" applyBorder="1"/>
    <xf numFmtId="0" fontId="32" fillId="6" borderId="0" xfId="0" applyFont="1" applyFill="1" applyBorder="1" applyAlignment="1">
      <alignment horizontal="center" vertical="center"/>
    </xf>
    <xf numFmtId="0" fontId="38" fillId="6" borderId="0" xfId="0" applyFont="1" applyFill="1" applyBorder="1" applyAlignment="1">
      <alignment horizontal="center"/>
    </xf>
    <xf numFmtId="0" fontId="32" fillId="6" borderId="0" xfId="0" applyFont="1" applyFill="1" applyBorder="1" applyAlignment="1">
      <alignment horizontal="center"/>
    </xf>
    <xf numFmtId="0" fontId="41" fillId="6" borderId="0" xfId="0" applyFont="1" applyFill="1" applyBorder="1" applyAlignment="1"/>
    <xf numFmtId="0" fontId="41" fillId="6" borderId="0" xfId="0" applyFont="1" applyFill="1" applyBorder="1"/>
    <xf numFmtId="0" fontId="39" fillId="6" borderId="0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horizontal="center" vertical="center"/>
    </xf>
    <xf numFmtId="0" fontId="37" fillId="6" borderId="0" xfId="0" applyFont="1" applyFill="1" applyBorder="1" applyAlignment="1">
      <alignment vertical="center"/>
    </xf>
    <xf numFmtId="0" fontId="32" fillId="6" borderId="6" xfId="0" applyFont="1" applyFill="1" applyBorder="1"/>
    <xf numFmtId="0" fontId="32" fillId="6" borderId="7" xfId="0" applyFont="1" applyFill="1" applyBorder="1"/>
    <xf numFmtId="0" fontId="18" fillId="7" borderId="1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top" wrapText="1"/>
    </xf>
    <xf numFmtId="0" fontId="4" fillId="7" borderId="39" xfId="0" applyFont="1" applyFill="1" applyBorder="1" applyAlignment="1">
      <alignment horizontal="center" vertical="top" wrapText="1"/>
    </xf>
    <xf numFmtId="0" fontId="4" fillId="3" borderId="0" xfId="0" applyFont="1" applyFill="1"/>
    <xf numFmtId="0" fontId="18" fillId="7" borderId="27" xfId="0" applyFont="1" applyFill="1" applyBorder="1" applyAlignment="1">
      <alignment horizontal="center" vertical="center" wrapText="1"/>
    </xf>
    <xf numFmtId="0" fontId="18" fillId="7" borderId="42" xfId="0" applyFont="1" applyFill="1" applyBorder="1" applyAlignment="1">
      <alignment horizontal="center" vertical="center" wrapText="1"/>
    </xf>
    <xf numFmtId="3" fontId="4" fillId="7" borderId="28" xfId="0" applyNumberFormat="1" applyFont="1" applyFill="1" applyBorder="1" applyAlignment="1">
      <alignment horizontal="center" vertical="top" wrapText="1"/>
    </xf>
    <xf numFmtId="0" fontId="4" fillId="7" borderId="41" xfId="0" applyFont="1" applyFill="1" applyBorder="1" applyAlignment="1">
      <alignment horizontal="center" vertical="top" wrapText="1"/>
    </xf>
    <xf numFmtId="3" fontId="4" fillId="7" borderId="43" xfId="0" applyNumberFormat="1" applyFont="1" applyFill="1" applyBorder="1" applyAlignment="1">
      <alignment horizontal="center" vertical="top" wrapText="1"/>
    </xf>
    <xf numFmtId="0" fontId="4" fillId="7" borderId="5" xfId="0" applyFont="1" applyFill="1" applyBorder="1" applyAlignment="1">
      <alignment horizontal="center" vertical="top" wrapText="1"/>
    </xf>
    <xf numFmtId="3" fontId="4" fillId="7" borderId="44" xfId="0" applyNumberFormat="1" applyFont="1" applyFill="1" applyBorder="1" applyAlignment="1">
      <alignment horizontal="center" vertical="top" wrapText="1"/>
    </xf>
    <xf numFmtId="0" fontId="4" fillId="7" borderId="45" xfId="0" applyFont="1" applyFill="1" applyBorder="1" applyAlignment="1">
      <alignment horizontal="center" vertical="top" wrapText="1"/>
    </xf>
    <xf numFmtId="0" fontId="4" fillId="7" borderId="8" xfId="0" applyFont="1" applyFill="1" applyBorder="1" applyAlignment="1">
      <alignment horizontal="center" vertical="top" wrapText="1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/>
    <xf numFmtId="0" fontId="47" fillId="6" borderId="0" xfId="0" applyFont="1" applyFill="1" applyBorder="1"/>
    <xf numFmtId="10" fontId="32" fillId="7" borderId="1" xfId="2" applyNumberFormat="1" applyFont="1" applyFill="1" applyBorder="1" applyAlignment="1">
      <alignment horizontal="center" vertical="center"/>
    </xf>
    <xf numFmtId="2" fontId="49" fillId="2" borderId="1" xfId="0" applyNumberFormat="1" applyFont="1" applyFill="1" applyBorder="1" applyAlignment="1" applyProtection="1">
      <alignment horizontal="center" vertical="center"/>
      <protection locked="0"/>
    </xf>
    <xf numFmtId="165" fontId="18" fillId="4" borderId="0" xfId="0" applyNumberFormat="1" applyFont="1" applyFill="1" applyAlignment="1">
      <alignment horizontal="center"/>
    </xf>
    <xf numFmtId="0" fontId="26" fillId="4" borderId="0" xfId="0" applyFont="1" applyFill="1" applyAlignment="1">
      <alignment horizontal="center" vertical="top"/>
    </xf>
    <xf numFmtId="0" fontId="27" fillId="4" borderId="0" xfId="0" applyFont="1" applyFill="1" applyAlignment="1">
      <alignment horizontal="center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50" fillId="3" borderId="0" xfId="0" applyFont="1" applyFill="1" applyAlignment="1"/>
    <xf numFmtId="0" fontId="11" fillId="3" borderId="0" xfId="0" applyFont="1" applyFill="1"/>
    <xf numFmtId="167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9" borderId="9" xfId="0" applyFont="1" applyFill="1" applyBorder="1"/>
    <xf numFmtId="0" fontId="11" fillId="9" borderId="10" xfId="0" applyFont="1" applyFill="1" applyBorder="1"/>
    <xf numFmtId="0" fontId="11" fillId="9" borderId="11" xfId="0" applyFont="1" applyFill="1" applyBorder="1"/>
    <xf numFmtId="0" fontId="11" fillId="0" borderId="0" xfId="0" applyFont="1"/>
    <xf numFmtId="0" fontId="11" fillId="9" borderId="2" xfId="0" applyFont="1" applyFill="1" applyBorder="1" applyAlignment="1"/>
    <xf numFmtId="0" fontId="11" fillId="9" borderId="0" xfId="0" applyFont="1" applyFill="1" applyBorder="1" applyAlignment="1"/>
    <xf numFmtId="0" fontId="11" fillId="9" borderId="0" xfId="0" applyFont="1" applyFill="1" applyBorder="1"/>
    <xf numFmtId="0" fontId="11" fillId="9" borderId="5" xfId="0" applyFont="1" applyFill="1" applyBorder="1"/>
    <xf numFmtId="0" fontId="11" fillId="9" borderId="2" xfId="0" applyFont="1" applyFill="1" applyBorder="1"/>
    <xf numFmtId="0" fontId="11" fillId="9" borderId="2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9" fontId="11" fillId="2" borderId="1" xfId="0" applyNumberFormat="1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5" borderId="1" xfId="0" applyFont="1" applyFill="1" applyBorder="1"/>
    <xf numFmtId="0" fontId="11" fillId="8" borderId="1" xfId="0" applyFont="1" applyFill="1" applyBorder="1"/>
    <xf numFmtId="0" fontId="11" fillId="3" borderId="1" xfId="0" applyFont="1" applyFill="1" applyBorder="1"/>
    <xf numFmtId="0" fontId="11" fillId="2" borderId="1" xfId="0" applyFont="1" applyFill="1" applyBorder="1" applyAlignment="1" applyProtection="1">
      <alignment horizontal="center"/>
      <protection locked="0"/>
    </xf>
    <xf numFmtId="0" fontId="59" fillId="9" borderId="0" xfId="0" applyFont="1" applyFill="1" applyBorder="1" applyAlignment="1">
      <alignment vertical="center" textRotation="90"/>
    </xf>
    <xf numFmtId="9" fontId="11" fillId="9" borderId="0" xfId="0" applyNumberFormat="1" applyFont="1" applyFill="1" applyBorder="1" applyAlignment="1">
      <alignment horizontal="center"/>
    </xf>
    <xf numFmtId="0" fontId="63" fillId="9" borderId="2" xfId="0" applyFont="1" applyFill="1" applyBorder="1"/>
    <xf numFmtId="0" fontId="11" fillId="9" borderId="0" xfId="0" applyFont="1" applyFill="1"/>
    <xf numFmtId="0" fontId="63" fillId="9" borderId="6" xfId="0" applyFont="1" applyFill="1" applyBorder="1"/>
    <xf numFmtId="0" fontId="11" fillId="9" borderId="7" xfId="0" applyFont="1" applyFill="1" applyBorder="1"/>
    <xf numFmtId="0" fontId="11" fillId="9" borderId="7" xfId="0" applyFont="1" applyFill="1" applyBorder="1" applyAlignment="1">
      <alignment horizontal="center"/>
    </xf>
    <xf numFmtId="9" fontId="11" fillId="9" borderId="7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9" fontId="11" fillId="0" borderId="0" xfId="0" applyNumberFormat="1" applyFont="1" applyAlignment="1">
      <alignment horizontal="center"/>
    </xf>
    <xf numFmtId="0" fontId="54" fillId="0" borderId="0" xfId="1" applyNumberFormat="1" applyFont="1" applyFill="1" applyBorder="1" applyAlignment="1" applyProtection="1">
      <alignment horizontal="left"/>
    </xf>
    <xf numFmtId="49" fontId="54" fillId="9" borderId="0" xfId="1" applyNumberFormat="1" applyFont="1" applyFill="1" applyAlignment="1" applyProtection="1"/>
    <xf numFmtId="0" fontId="68" fillId="3" borderId="0" xfId="0" applyFont="1" applyFill="1"/>
    <xf numFmtId="0" fontId="47" fillId="6" borderId="7" xfId="0" applyFont="1" applyFill="1" applyBorder="1"/>
    <xf numFmtId="0" fontId="32" fillId="4" borderId="28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49" fontId="11" fillId="4" borderId="0" xfId="0" applyNumberFormat="1" applyFont="1" applyFill="1"/>
    <xf numFmtId="49" fontId="54" fillId="4" borderId="0" xfId="1" applyNumberFormat="1" applyFont="1" applyFill="1" applyAlignment="1" applyProtection="1"/>
    <xf numFmtId="49" fontId="54" fillId="3" borderId="0" xfId="1" applyNumberFormat="1" applyFont="1" applyFill="1" applyAlignment="1" applyProtection="1"/>
    <xf numFmtId="0" fontId="70" fillId="4" borderId="6" xfId="0" applyFont="1" applyFill="1" applyBorder="1" applyProtection="1"/>
    <xf numFmtId="0" fontId="8" fillId="3" borderId="0" xfId="1" applyFont="1" applyFill="1" applyAlignment="1" applyProtection="1">
      <alignment vertical="center"/>
    </xf>
    <xf numFmtId="0" fontId="20" fillId="3" borderId="0" xfId="0" applyFont="1" applyFill="1" applyProtection="1"/>
    <xf numFmtId="0" fontId="4" fillId="3" borderId="0" xfId="0" applyFont="1" applyFill="1" applyBorder="1" applyAlignment="1" applyProtection="1">
      <alignment vertical="center" textRotation="180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Protection="1"/>
    <xf numFmtId="0" fontId="4" fillId="0" borderId="0" xfId="0" applyFont="1" applyProtection="1"/>
    <xf numFmtId="0" fontId="10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>
      <alignment horizontal="center"/>
    </xf>
    <xf numFmtId="166" fontId="4" fillId="3" borderId="0" xfId="2" applyNumberFormat="1" applyFont="1" applyFill="1" applyBorder="1" applyAlignment="1" applyProtection="1">
      <alignment horizontal="center"/>
    </xf>
    <xf numFmtId="3" fontId="4" fillId="3" borderId="0" xfId="0" applyNumberFormat="1" applyFont="1" applyFill="1" applyAlignment="1" applyProtection="1">
      <alignment horizontal="center"/>
    </xf>
    <xf numFmtId="3" fontId="4" fillId="3" borderId="0" xfId="0" applyNumberFormat="1" applyFont="1" applyFill="1" applyAlignment="1" applyProtection="1">
      <alignment horizontal="left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/>
    </xf>
    <xf numFmtId="3" fontId="5" fillId="3" borderId="0" xfId="0" applyNumberFormat="1" applyFont="1" applyFill="1" applyAlignment="1" applyProtection="1">
      <alignment horizontal="center"/>
    </xf>
    <xf numFmtId="2" fontId="4" fillId="4" borderId="4" xfId="0" applyNumberFormat="1" applyFont="1" applyFill="1" applyBorder="1" applyAlignment="1" applyProtection="1">
      <alignment horizontal="center"/>
    </xf>
    <xf numFmtId="1" fontId="4" fillId="4" borderId="0" xfId="0" applyNumberFormat="1" applyFont="1" applyFill="1" applyBorder="1" applyAlignment="1" applyProtection="1">
      <alignment horizontal="center"/>
    </xf>
    <xf numFmtId="0" fontId="4" fillId="4" borderId="21" xfId="0" applyFont="1" applyFill="1" applyBorder="1" applyAlignment="1" applyProtection="1">
      <alignment horizontal="center"/>
    </xf>
    <xf numFmtId="0" fontId="4" fillId="4" borderId="12" xfId="0" applyFont="1" applyFill="1" applyBorder="1" applyProtection="1"/>
    <xf numFmtId="0" fontId="4" fillId="4" borderId="13" xfId="0" applyFont="1" applyFill="1" applyBorder="1" applyAlignment="1" applyProtection="1">
      <alignment horizontal="center"/>
    </xf>
    <xf numFmtId="0" fontId="4" fillId="4" borderId="5" xfId="0" applyFont="1" applyFill="1" applyBorder="1" applyProtection="1"/>
    <xf numFmtId="0" fontId="9" fillId="3" borderId="0" xfId="1" applyFont="1" applyFill="1" applyAlignment="1" applyProtection="1">
      <alignment vertical="center" textRotation="180"/>
    </xf>
    <xf numFmtId="9" fontId="4" fillId="3" borderId="0" xfId="2" applyNumberFormat="1" applyFont="1" applyFill="1" applyAlignment="1" applyProtection="1">
      <alignment horizontal="center"/>
    </xf>
    <xf numFmtId="9" fontId="4" fillId="3" borderId="0" xfId="2" applyNumberFormat="1" applyFont="1" applyFill="1" applyBorder="1" applyAlignment="1" applyProtection="1">
      <alignment horizontal="center"/>
    </xf>
    <xf numFmtId="1" fontId="4" fillId="4" borderId="22" xfId="0" applyNumberFormat="1" applyFont="1" applyFill="1" applyBorder="1" applyAlignment="1" applyProtection="1">
      <alignment horizontal="center"/>
    </xf>
    <xf numFmtId="0" fontId="4" fillId="4" borderId="17" xfId="0" applyFont="1" applyFill="1" applyBorder="1" applyProtection="1"/>
    <xf numFmtId="0" fontId="4" fillId="4" borderId="14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1" fontId="4" fillId="4" borderId="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/>
    <xf numFmtId="0" fontId="4" fillId="4" borderId="5" xfId="0" applyFont="1" applyFill="1" applyBorder="1" applyAlignment="1" applyProtection="1"/>
    <xf numFmtId="0" fontId="10" fillId="4" borderId="1" xfId="0" applyFont="1" applyFill="1" applyBorder="1" applyAlignment="1" applyProtection="1">
      <alignment vertical="center"/>
    </xf>
    <xf numFmtId="2" fontId="4" fillId="4" borderId="1" xfId="0" applyNumberFormat="1" applyFont="1" applyFill="1" applyBorder="1" applyAlignment="1" applyProtection="1">
      <alignment horizontal="center" vertical="center"/>
    </xf>
    <xf numFmtId="165" fontId="4" fillId="4" borderId="0" xfId="0" applyNumberFormat="1" applyFont="1" applyFill="1" applyBorder="1" applyAlignment="1" applyProtection="1">
      <alignment horizontal="center"/>
    </xf>
    <xf numFmtId="165" fontId="4" fillId="4" borderId="21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/>
    </xf>
    <xf numFmtId="0" fontId="4" fillId="4" borderId="13" xfId="0" applyFont="1" applyFill="1" applyBorder="1" applyProtection="1"/>
    <xf numFmtId="0" fontId="17" fillId="4" borderId="0" xfId="0" applyFont="1" applyFill="1" applyBorder="1" applyAlignment="1" applyProtection="1">
      <alignment horizontal="left" vertical="center"/>
    </xf>
    <xf numFmtId="0" fontId="17" fillId="4" borderId="0" xfId="0" applyFont="1" applyFill="1" applyBorder="1" applyAlignment="1" applyProtection="1"/>
    <xf numFmtId="165" fontId="4" fillId="4" borderId="22" xfId="0" applyNumberFormat="1" applyFont="1" applyFill="1" applyBorder="1" applyAlignment="1" applyProtection="1">
      <alignment horizontal="center"/>
    </xf>
    <xf numFmtId="0" fontId="4" fillId="4" borderId="17" xfId="0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left"/>
    </xf>
    <xf numFmtId="0" fontId="4" fillId="4" borderId="5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Protection="1"/>
    <xf numFmtId="166" fontId="17" fillId="4" borderId="0" xfId="2" applyNumberFormat="1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8" fillId="4" borderId="0" xfId="2" applyNumberFormat="1" applyFont="1" applyFill="1" applyBorder="1" applyAlignment="1" applyProtection="1">
      <alignment horizontal="center"/>
    </xf>
    <xf numFmtId="0" fontId="18" fillId="4" borderId="5" xfId="0" applyFont="1" applyFill="1" applyBorder="1" applyAlignment="1" applyProtection="1">
      <alignment horizontal="center"/>
    </xf>
    <xf numFmtId="168" fontId="4" fillId="4" borderId="0" xfId="0" applyNumberFormat="1" applyFont="1" applyFill="1" applyBorder="1" applyProtection="1"/>
    <xf numFmtId="0" fontId="4" fillId="4" borderId="0" xfId="0" applyFont="1" applyFill="1" applyBorder="1" applyProtection="1"/>
    <xf numFmtId="168" fontId="8" fillId="3" borderId="0" xfId="1" applyNumberFormat="1" applyFont="1" applyFill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left" vertical="center"/>
    </xf>
    <xf numFmtId="2" fontId="22" fillId="4" borderId="0" xfId="0" applyNumberFormat="1" applyFont="1" applyFill="1" applyBorder="1" applyAlignment="1" applyProtection="1">
      <alignment horizontal="center" vertical="center"/>
    </xf>
    <xf numFmtId="167" fontId="17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10" fillId="4" borderId="5" xfId="0" applyFont="1" applyFill="1" applyBorder="1" applyAlignment="1" applyProtection="1"/>
    <xf numFmtId="0" fontId="10" fillId="4" borderId="0" xfId="0" applyFont="1" applyFill="1" applyBorder="1" applyProtection="1"/>
    <xf numFmtId="0" fontId="4" fillId="4" borderId="2" xfId="0" applyFont="1" applyFill="1" applyBorder="1" applyProtection="1"/>
    <xf numFmtId="167" fontId="4" fillId="4" borderId="1" xfId="2" applyNumberFormat="1" applyFont="1" applyFill="1" applyBorder="1" applyAlignment="1" applyProtection="1">
      <alignment horizontal="center" vertical="center"/>
    </xf>
    <xf numFmtId="0" fontId="4" fillId="4" borderId="1" xfId="2" applyNumberFormat="1" applyFont="1" applyFill="1" applyBorder="1" applyAlignment="1" applyProtection="1">
      <alignment horizontal="center" vertical="center"/>
    </xf>
    <xf numFmtId="2" fontId="4" fillId="4" borderId="1" xfId="2" applyNumberFormat="1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/>
    </xf>
    <xf numFmtId="0" fontId="4" fillId="4" borderId="0" xfId="2" applyNumberFormat="1" applyFont="1" applyFill="1" applyBorder="1" applyAlignment="1" applyProtection="1">
      <alignment horizontal="center"/>
    </xf>
    <xf numFmtId="0" fontId="4" fillId="4" borderId="5" xfId="2" applyNumberFormat="1" applyFont="1" applyFill="1" applyBorder="1" applyAlignment="1" applyProtection="1">
      <alignment horizontal="center"/>
    </xf>
    <xf numFmtId="0" fontId="17" fillId="4" borderId="0" xfId="0" applyFont="1" applyFill="1" applyBorder="1" applyAlignment="1" applyProtection="1">
      <alignment vertical="center"/>
    </xf>
    <xf numFmtId="168" fontId="4" fillId="4" borderId="0" xfId="0" applyNumberFormat="1" applyFont="1" applyFill="1" applyBorder="1" applyAlignment="1" applyProtection="1">
      <alignment horizontal="center"/>
    </xf>
    <xf numFmtId="0" fontId="70" fillId="4" borderId="0" xfId="0" applyFont="1" applyFill="1" applyBorder="1" applyProtection="1"/>
    <xf numFmtId="0" fontId="4" fillId="4" borderId="7" xfId="0" applyFont="1" applyFill="1" applyBorder="1" applyProtection="1"/>
    <xf numFmtId="10" fontId="4" fillId="4" borderId="7" xfId="0" applyNumberFormat="1" applyFont="1" applyFill="1" applyBorder="1" applyProtection="1"/>
    <xf numFmtId="0" fontId="4" fillId="4" borderId="7" xfId="0" applyFont="1" applyFill="1" applyBorder="1" applyAlignment="1" applyProtection="1">
      <alignment horizontal="center"/>
    </xf>
    <xf numFmtId="168" fontId="4" fillId="4" borderId="7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Protection="1"/>
    <xf numFmtId="164" fontId="4" fillId="3" borderId="0" xfId="0" applyNumberFormat="1" applyFont="1" applyFill="1" applyBorder="1" applyProtection="1"/>
    <xf numFmtId="10" fontId="4" fillId="3" borderId="0" xfId="0" applyNumberFormat="1" applyFont="1" applyFill="1" applyProtection="1"/>
    <xf numFmtId="0" fontId="15" fillId="3" borderId="0" xfId="0" applyFont="1" applyFill="1" applyBorder="1" applyAlignment="1" applyProtection="1">
      <alignment horizontal="center"/>
    </xf>
    <xf numFmtId="10" fontId="4" fillId="3" borderId="0" xfId="0" applyNumberFormat="1" applyFont="1" applyFill="1" applyBorder="1" applyProtection="1"/>
    <xf numFmtId="168" fontId="4" fillId="3" borderId="0" xfId="0" applyNumberFormat="1" applyFont="1" applyFill="1" applyBorder="1" applyAlignment="1" applyProtection="1">
      <alignment horizontal="center"/>
    </xf>
    <xf numFmtId="0" fontId="54" fillId="3" borderId="0" xfId="1" applyFont="1" applyFill="1" applyAlignment="1" applyProtection="1">
      <alignment vertical="top"/>
    </xf>
    <xf numFmtId="2" fontId="4" fillId="3" borderId="0" xfId="0" applyNumberFormat="1" applyFont="1" applyFill="1" applyBorder="1" applyProtection="1"/>
    <xf numFmtId="164" fontId="4" fillId="3" borderId="1" xfId="0" applyNumberFormat="1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11" fillId="3" borderId="0" xfId="0" applyFont="1" applyFill="1" applyProtection="1"/>
    <xf numFmtId="165" fontId="4" fillId="3" borderId="1" xfId="0" applyNumberFormat="1" applyFont="1" applyFill="1" applyBorder="1" applyProtection="1"/>
    <xf numFmtId="0" fontId="4" fillId="3" borderId="0" xfId="0" applyFont="1" applyFill="1" applyAlignment="1" applyProtection="1">
      <alignment horizontal="center" vertical="center"/>
    </xf>
    <xf numFmtId="167" fontId="4" fillId="3" borderId="0" xfId="0" applyNumberFormat="1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/>
    <xf numFmtId="167" fontId="17" fillId="3" borderId="0" xfId="0" applyNumberFormat="1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4" fillId="3" borderId="0" xfId="0" applyFont="1" applyFill="1" applyAlignment="1" applyProtection="1">
      <alignment horizontal="right"/>
    </xf>
    <xf numFmtId="1" fontId="4" fillId="3" borderId="0" xfId="0" applyNumberFormat="1" applyFont="1" applyFill="1" applyBorder="1" applyAlignment="1" applyProtection="1"/>
    <xf numFmtId="170" fontId="4" fillId="3" borderId="0" xfId="0" applyNumberFormat="1" applyFont="1" applyFill="1" applyAlignment="1" applyProtection="1">
      <alignment horizontal="center"/>
    </xf>
    <xf numFmtId="0" fontId="4" fillId="3" borderId="1" xfId="0" applyFont="1" applyFill="1" applyBorder="1" applyProtection="1"/>
    <xf numFmtId="164" fontId="4" fillId="3" borderId="1" xfId="0" applyNumberFormat="1" applyFont="1" applyFill="1" applyBorder="1" applyProtection="1"/>
    <xf numFmtId="10" fontId="4" fillId="3" borderId="1" xfId="0" applyNumberFormat="1" applyFont="1" applyFill="1" applyBorder="1" applyProtection="1"/>
    <xf numFmtId="167" fontId="4" fillId="3" borderId="1" xfId="0" applyNumberFormat="1" applyFont="1" applyFill="1" applyBorder="1" applyProtection="1"/>
    <xf numFmtId="2" fontId="4" fillId="0" borderId="1" xfId="0" applyNumberFormat="1" applyFont="1" applyBorder="1" applyProtection="1"/>
    <xf numFmtId="10" fontId="4" fillId="0" borderId="1" xfId="0" applyNumberFormat="1" applyFont="1" applyBorder="1" applyProtection="1"/>
    <xf numFmtId="10" fontId="4" fillId="3" borderId="0" xfId="0" applyNumberFormat="1" applyFont="1" applyFill="1" applyAlignment="1" applyProtection="1">
      <alignment horizontal="center"/>
    </xf>
    <xf numFmtId="0" fontId="4" fillId="0" borderId="1" xfId="0" applyFont="1" applyBorder="1" applyProtection="1"/>
    <xf numFmtId="164" fontId="4" fillId="0" borderId="1" xfId="0" applyNumberFormat="1" applyFont="1" applyBorder="1" applyProtection="1"/>
    <xf numFmtId="167" fontId="4" fillId="0" borderId="1" xfId="0" applyNumberFormat="1" applyFont="1" applyBorder="1" applyProtection="1"/>
    <xf numFmtId="167" fontId="17" fillId="3" borderId="0" xfId="0" applyNumberFormat="1" applyFont="1" applyFill="1" applyProtection="1"/>
    <xf numFmtId="0" fontId="4" fillId="3" borderId="0" xfId="0" applyFont="1" applyFill="1" applyBorder="1" applyAlignment="1" applyProtection="1">
      <alignment horizontal="center" wrapText="1"/>
    </xf>
    <xf numFmtId="0" fontId="4" fillId="3" borderId="15" xfId="0" applyFont="1" applyFill="1" applyBorder="1" applyProtection="1"/>
    <xf numFmtId="2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/>
    <xf numFmtId="167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center"/>
    </xf>
    <xf numFmtId="0" fontId="4" fillId="3" borderId="23" xfId="0" applyFont="1" applyFill="1" applyBorder="1" applyProtection="1"/>
    <xf numFmtId="2" fontId="4" fillId="3" borderId="23" xfId="0" applyNumberFormat="1" applyFont="1" applyFill="1" applyBorder="1" applyProtection="1"/>
    <xf numFmtId="0" fontId="4" fillId="3" borderId="16" xfId="0" applyFont="1" applyFill="1" applyBorder="1" applyAlignment="1" applyProtection="1">
      <alignment horizontal="center" vertical="center"/>
    </xf>
    <xf numFmtId="0" fontId="4" fillId="8" borderId="1" xfId="0" applyFont="1" applyFill="1" applyBorder="1" applyProtection="1"/>
    <xf numFmtId="164" fontId="4" fillId="8" borderId="1" xfId="0" applyNumberFormat="1" applyFont="1" applyFill="1" applyBorder="1" applyProtection="1"/>
    <xf numFmtId="10" fontId="4" fillId="8" borderId="1" xfId="0" applyNumberFormat="1" applyFont="1" applyFill="1" applyBorder="1" applyProtection="1"/>
    <xf numFmtId="167" fontId="4" fillId="8" borderId="1" xfId="0" applyNumberFormat="1" applyFont="1" applyFill="1" applyBorder="1" applyProtection="1"/>
    <xf numFmtId="2" fontId="4" fillId="8" borderId="1" xfId="0" applyNumberFormat="1" applyFont="1" applyFill="1" applyBorder="1" applyProtection="1"/>
    <xf numFmtId="0" fontId="4" fillId="3" borderId="0" xfId="0" applyFont="1" applyFill="1" applyAlignment="1" applyProtection="1"/>
    <xf numFmtId="2" fontId="49" fillId="3" borderId="0" xfId="0" applyNumberFormat="1" applyFont="1" applyFill="1" applyAlignment="1" applyProtection="1">
      <alignment horizontal="center"/>
    </xf>
    <xf numFmtId="1" fontId="23" fillId="3" borderId="0" xfId="0" applyNumberFormat="1" applyFont="1" applyFill="1" applyAlignment="1" applyProtection="1">
      <alignment horizontal="center"/>
    </xf>
    <xf numFmtId="168" fontId="4" fillId="3" borderId="0" xfId="0" applyNumberFormat="1" applyFont="1" applyFill="1" applyAlignment="1" applyProtection="1">
      <alignment horizontal="center"/>
    </xf>
    <xf numFmtId="0" fontId="0" fillId="3" borderId="0" xfId="0" applyFill="1" applyAlignment="1" applyProtection="1"/>
    <xf numFmtId="0" fontId="0" fillId="3" borderId="0" xfId="0" applyFill="1" applyProtection="1"/>
    <xf numFmtId="169" fontId="12" fillId="3" borderId="0" xfId="0" applyNumberFormat="1" applyFont="1" applyFill="1" applyBorder="1" applyAlignment="1" applyProtection="1">
      <alignment vertical="center"/>
    </xf>
    <xf numFmtId="0" fontId="50" fillId="3" borderId="0" xfId="0" applyFont="1" applyFill="1" applyProtection="1"/>
    <xf numFmtId="0" fontId="14" fillId="3" borderId="0" xfId="1" applyFont="1" applyFill="1" applyAlignment="1" applyProtection="1">
      <alignment vertical="center"/>
    </xf>
    <xf numFmtId="0" fontId="14" fillId="3" borderId="0" xfId="1" applyNumberFormat="1" applyFont="1" applyFill="1" applyAlignment="1" applyProtection="1">
      <alignment vertical="center"/>
    </xf>
    <xf numFmtId="164" fontId="4" fillId="3" borderId="0" xfId="0" applyNumberFormat="1" applyFont="1" applyFill="1" applyBorder="1" applyAlignment="1" applyProtection="1">
      <alignment horizontal="center"/>
    </xf>
    <xf numFmtId="0" fontId="55" fillId="3" borderId="0" xfId="0" applyFont="1" applyFill="1" applyAlignment="1" applyProtection="1"/>
    <xf numFmtId="0" fontId="15" fillId="3" borderId="0" xfId="0" applyFont="1" applyFill="1" applyAlignment="1" applyProtection="1"/>
    <xf numFmtId="0" fontId="15" fillId="3" borderId="0" xfId="0" applyNumberFormat="1" applyFont="1" applyFill="1" applyAlignment="1" applyProtection="1"/>
    <xf numFmtId="166" fontId="4" fillId="3" borderId="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1" fontId="4" fillId="3" borderId="0" xfId="2" applyNumberFormat="1" applyFont="1" applyFill="1" applyBorder="1" applyAlignment="1" applyProtection="1">
      <alignment horizontal="center" vertical="center"/>
    </xf>
    <xf numFmtId="167" fontId="4" fillId="3" borderId="0" xfId="2" applyNumberFormat="1" applyFont="1" applyFill="1" applyBorder="1" applyAlignment="1" applyProtection="1">
      <alignment horizontal="center" vertical="center"/>
    </xf>
    <xf numFmtId="0" fontId="4" fillId="3" borderId="0" xfId="2" applyNumberFormat="1" applyFont="1" applyFill="1" applyProtection="1"/>
    <xf numFmtId="164" fontId="4" fillId="3" borderId="0" xfId="2" applyNumberFormat="1" applyFont="1" applyFill="1" applyBorder="1" applyAlignment="1" applyProtection="1">
      <alignment horizontal="center" vertical="center"/>
    </xf>
    <xf numFmtId="10" fontId="4" fillId="0" borderId="1" xfId="2" applyNumberFormat="1" applyFont="1" applyBorder="1" applyProtection="1"/>
    <xf numFmtId="2" fontId="4" fillId="3" borderId="0" xfId="0" applyNumberFormat="1" applyFont="1" applyFill="1" applyProtection="1"/>
    <xf numFmtId="49" fontId="21" fillId="3" borderId="15" xfId="1" applyNumberFormat="1" applyFont="1" applyFill="1" applyBorder="1" applyAlignment="1" applyProtection="1"/>
    <xf numFmtId="168" fontId="4" fillId="3" borderId="16" xfId="0" applyNumberFormat="1" applyFont="1" applyFill="1" applyBorder="1" applyAlignment="1" applyProtection="1">
      <alignment horizontal="center"/>
    </xf>
    <xf numFmtId="10" fontId="4" fillId="3" borderId="1" xfId="2" applyNumberFormat="1" applyFont="1" applyFill="1" applyBorder="1" applyProtection="1"/>
    <xf numFmtId="2" fontId="4" fillId="3" borderId="1" xfId="0" applyNumberFormat="1" applyFont="1" applyFill="1" applyBorder="1" applyProtection="1"/>
    <xf numFmtId="1" fontId="4" fillId="3" borderId="1" xfId="0" applyNumberFormat="1" applyFont="1" applyFill="1" applyBorder="1" applyProtection="1"/>
    <xf numFmtId="10" fontId="4" fillId="3" borderId="1" xfId="0" applyNumberFormat="1" applyFont="1" applyFill="1" applyBorder="1" applyAlignment="1" applyProtection="1">
      <alignment horizontal="center"/>
    </xf>
    <xf numFmtId="49" fontId="21" fillId="3" borderId="0" xfId="1" applyNumberFormat="1" applyFont="1" applyFill="1" applyAlignment="1" applyProtection="1"/>
    <xf numFmtId="0" fontId="11" fillId="3" borderId="0" xfId="0" applyFont="1" applyFill="1" applyAlignment="1" applyProtection="1"/>
    <xf numFmtId="0" fontId="54" fillId="3" borderId="0" xfId="1" applyFont="1" applyFill="1" applyAlignment="1" applyProtection="1"/>
    <xf numFmtId="167" fontId="4" fillId="3" borderId="0" xfId="0" applyNumberFormat="1" applyFont="1" applyFill="1" applyBorder="1" applyProtection="1"/>
    <xf numFmtId="2" fontId="4" fillId="3" borderId="0" xfId="0" applyNumberFormat="1" applyFont="1" applyFill="1" applyBorder="1" applyAlignment="1" applyProtection="1"/>
    <xf numFmtId="2" fontId="18" fillId="3" borderId="0" xfId="0" applyNumberFormat="1" applyFont="1" applyFill="1" applyAlignment="1" applyProtection="1">
      <alignment horizontal="center"/>
    </xf>
    <xf numFmtId="170" fontId="4" fillId="3" borderId="0" xfId="2" applyNumberFormat="1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/>
    <xf numFmtId="10" fontId="4" fillId="3" borderId="0" xfId="2" applyNumberFormat="1" applyFont="1" applyFill="1" applyBorder="1" applyProtection="1"/>
    <xf numFmtId="0" fontId="2" fillId="3" borderId="0" xfId="0" applyFont="1" applyFill="1" applyProtection="1"/>
    <xf numFmtId="0" fontId="12" fillId="3" borderId="0" xfId="0" applyNumberFormat="1" applyFont="1" applyFill="1" applyBorder="1" applyAlignment="1" applyProtection="1">
      <alignment vertical="center"/>
    </xf>
    <xf numFmtId="0" fontId="18" fillId="3" borderId="0" xfId="0" applyFont="1" applyFill="1" applyProtection="1"/>
    <xf numFmtId="167" fontId="4" fillId="3" borderId="0" xfId="0" applyNumberFormat="1" applyFont="1" applyFill="1" applyProtection="1"/>
    <xf numFmtId="0" fontId="55" fillId="3" borderId="0" xfId="0" applyFont="1" applyFill="1" applyAlignment="1" applyProtection="1">
      <alignment horizontal="left" wrapText="1" indent="3"/>
    </xf>
    <xf numFmtId="0" fontId="4" fillId="3" borderId="0" xfId="0" applyFont="1" applyFill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71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NumberFormat="1" applyFont="1" applyProtection="1"/>
    <xf numFmtId="168" fontId="17" fillId="4" borderId="0" xfId="0" applyNumberFormat="1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center"/>
    </xf>
    <xf numFmtId="0" fontId="15" fillId="4" borderId="0" xfId="0" applyFont="1" applyFill="1" applyBorder="1" applyAlignment="1" applyProtection="1">
      <alignment horizontal="center"/>
    </xf>
    <xf numFmtId="0" fontId="18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70" fillId="4" borderId="7" xfId="0" applyFont="1" applyFill="1" applyBorder="1" applyAlignment="1" applyProtection="1">
      <alignment horizontal="center"/>
      <protection locked="0"/>
    </xf>
    <xf numFmtId="0" fontId="70" fillId="4" borderId="8" xfId="0" applyFont="1" applyFill="1" applyBorder="1" applyAlignment="1" applyProtection="1">
      <alignment horizontal="center"/>
      <protection locked="0"/>
    </xf>
    <xf numFmtId="0" fontId="72" fillId="3" borderId="0" xfId="0" applyFont="1" applyFill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</xf>
    <xf numFmtId="0" fontId="16" fillId="4" borderId="9" xfId="0" applyFont="1" applyFill="1" applyBorder="1" applyAlignment="1" applyProtection="1">
      <alignment horizontal="center"/>
    </xf>
    <xf numFmtId="0" fontId="16" fillId="4" borderId="10" xfId="0" applyFont="1" applyFill="1" applyBorder="1" applyAlignment="1" applyProtection="1">
      <alignment horizontal="center"/>
    </xf>
    <xf numFmtId="0" fontId="16" fillId="4" borderId="11" xfId="0" applyFont="1" applyFill="1" applyBorder="1" applyAlignment="1" applyProtection="1">
      <alignment horizontal="center"/>
    </xf>
    <xf numFmtId="0" fontId="51" fillId="4" borderId="15" xfId="0" applyFont="1" applyFill="1" applyBorder="1" applyAlignment="1" applyProtection="1">
      <alignment horizontal="center" vertical="center"/>
    </xf>
    <xf numFmtId="0" fontId="51" fillId="4" borderId="23" xfId="0" applyFont="1" applyFill="1" applyBorder="1" applyAlignment="1" applyProtection="1">
      <alignment horizontal="center" vertical="center"/>
    </xf>
    <xf numFmtId="0" fontId="51" fillId="4" borderId="16" xfId="0" applyFont="1" applyFill="1" applyBorder="1" applyAlignment="1" applyProtection="1">
      <alignment horizontal="center" vertical="center"/>
    </xf>
    <xf numFmtId="0" fontId="10" fillId="4" borderId="15" xfId="0" applyFont="1" applyFill="1" applyBorder="1" applyAlignment="1" applyProtection="1">
      <alignment horizontal="center" vertical="center"/>
    </xf>
    <xf numFmtId="0" fontId="10" fillId="4" borderId="23" xfId="0" applyFont="1" applyFill="1" applyBorder="1" applyAlignment="1" applyProtection="1">
      <alignment horizontal="center" vertical="center"/>
    </xf>
    <xf numFmtId="0" fontId="10" fillId="4" borderId="16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10" fillId="4" borderId="1" xfId="0" quotePrefix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46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2" fontId="17" fillId="4" borderId="0" xfId="0" applyNumberFormat="1" applyFont="1" applyFill="1" applyBorder="1" applyAlignment="1" applyProtection="1">
      <alignment horizontal="center" vertical="center"/>
    </xf>
    <xf numFmtId="2" fontId="17" fillId="4" borderId="5" xfId="0" applyNumberFormat="1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 textRotation="90" wrapText="1"/>
    </xf>
    <xf numFmtId="0" fontId="4" fillId="3" borderId="1" xfId="0" applyFont="1" applyFill="1" applyBorder="1" applyAlignment="1" applyProtection="1">
      <alignment horizontal="center"/>
    </xf>
    <xf numFmtId="0" fontId="4" fillId="3" borderId="0" xfId="0" quotePrefix="1" applyFont="1" applyFill="1" applyAlignment="1" applyProtection="1">
      <alignment horizontal="center"/>
    </xf>
    <xf numFmtId="0" fontId="54" fillId="3" borderId="17" xfId="1" applyFont="1" applyFill="1" applyBorder="1" applyAlignment="1" applyProtection="1">
      <alignment horizontal="center" vertical="center"/>
    </xf>
    <xf numFmtId="0" fontId="18" fillId="4" borderId="12" xfId="0" applyFont="1" applyFill="1" applyBorder="1" applyAlignment="1" applyProtection="1">
      <alignment horizontal="center" vertical="center" wrapText="1"/>
    </xf>
    <xf numFmtId="0" fontId="18" fillId="4" borderId="0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169" fontId="45" fillId="4" borderId="0" xfId="0" applyNumberFormat="1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52" fillId="4" borderId="0" xfId="1" applyFont="1" applyFill="1" applyBorder="1" applyAlignment="1" applyProtection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169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4" borderId="0" xfId="1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31" fillId="5" borderId="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37" fillId="4" borderId="48" xfId="0" applyFont="1" applyFill="1" applyBorder="1" applyAlignment="1">
      <alignment horizontal="center" vertical="center"/>
    </xf>
    <xf numFmtId="0" fontId="37" fillId="4" borderId="47" xfId="0" applyFont="1" applyFill="1" applyBorder="1" applyAlignment="1">
      <alignment horizontal="center" vertical="center"/>
    </xf>
    <xf numFmtId="0" fontId="37" fillId="4" borderId="49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69" fillId="6" borderId="7" xfId="0" applyFont="1" applyFill="1" applyBorder="1" applyAlignment="1" applyProtection="1">
      <alignment horizontal="center"/>
      <protection locked="0"/>
    </xf>
    <xf numFmtId="0" fontId="69" fillId="6" borderId="8" xfId="0" applyFont="1" applyFill="1" applyBorder="1" applyAlignment="1" applyProtection="1">
      <alignment horizontal="center"/>
      <protection locked="0"/>
    </xf>
    <xf numFmtId="0" fontId="32" fillId="6" borderId="0" xfId="0" applyFont="1" applyFill="1" applyBorder="1" applyAlignment="1">
      <alignment horizontal="left"/>
    </xf>
    <xf numFmtId="0" fontId="32" fillId="6" borderId="5" xfId="0" applyFont="1" applyFill="1" applyBorder="1" applyAlignment="1">
      <alignment horizontal="left"/>
    </xf>
    <xf numFmtId="0" fontId="32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left" vertical="center"/>
    </xf>
    <xf numFmtId="0" fontId="46" fillId="7" borderId="9" xfId="0" applyFont="1" applyFill="1" applyBorder="1" applyAlignment="1">
      <alignment horizontal="center" vertical="center"/>
    </xf>
    <xf numFmtId="0" fontId="46" fillId="7" borderId="10" xfId="0" applyFont="1" applyFill="1" applyBorder="1" applyAlignment="1">
      <alignment horizontal="center" vertical="center"/>
    </xf>
    <xf numFmtId="0" fontId="46" fillId="7" borderId="11" xfId="0" applyFont="1" applyFill="1" applyBorder="1" applyAlignment="1">
      <alignment horizontal="center" vertical="center"/>
    </xf>
    <xf numFmtId="0" fontId="46" fillId="7" borderId="40" xfId="0" applyFont="1" applyFill="1" applyBorder="1" applyAlignment="1">
      <alignment horizontal="center" vertical="center"/>
    </xf>
    <xf numFmtId="0" fontId="46" fillId="7" borderId="17" xfId="0" applyFont="1" applyFill="1" applyBorder="1" applyAlignment="1">
      <alignment horizontal="center" vertical="center"/>
    </xf>
    <xf numFmtId="0" fontId="46" fillId="7" borderId="41" xfId="0" applyFont="1" applyFill="1" applyBorder="1" applyAlignment="1">
      <alignment horizontal="center" vertical="center"/>
    </xf>
    <xf numFmtId="0" fontId="62" fillId="9" borderId="0" xfId="0" applyFont="1" applyFill="1" applyBorder="1" applyAlignment="1" applyProtection="1">
      <alignment horizontal="center"/>
      <protection hidden="1"/>
    </xf>
    <xf numFmtId="0" fontId="63" fillId="9" borderId="0" xfId="0" applyFont="1" applyFill="1" applyBorder="1" applyAlignment="1">
      <alignment horizontal="center"/>
    </xf>
    <xf numFmtId="0" fontId="63" fillId="9" borderId="5" xfId="0" applyFont="1" applyFill="1" applyBorder="1" applyAlignment="1">
      <alignment horizontal="center"/>
    </xf>
    <xf numFmtId="0" fontId="63" fillId="9" borderId="7" xfId="0" applyFont="1" applyFill="1" applyBorder="1" applyAlignment="1">
      <alignment horizontal="center"/>
    </xf>
    <xf numFmtId="0" fontId="63" fillId="9" borderId="8" xfId="0" applyFont="1" applyFill="1" applyBorder="1" applyAlignment="1">
      <alignment horizontal="center"/>
    </xf>
    <xf numFmtId="9" fontId="11" fillId="3" borderId="15" xfId="0" applyNumberFormat="1" applyFont="1" applyFill="1" applyBorder="1" applyAlignment="1">
      <alignment horizontal="center"/>
    </xf>
    <xf numFmtId="9" fontId="11" fillId="3" borderId="16" xfId="0" applyNumberFormat="1" applyFont="1" applyFill="1" applyBorder="1" applyAlignment="1">
      <alignment horizontal="center"/>
    </xf>
    <xf numFmtId="169" fontId="61" fillId="9" borderId="0" xfId="0" applyNumberFormat="1" applyFont="1" applyFill="1" applyBorder="1" applyAlignment="1" applyProtection="1">
      <alignment horizontal="center" vertical="center"/>
      <protection hidden="1"/>
    </xf>
    <xf numFmtId="0" fontId="54" fillId="9" borderId="0" xfId="1" applyFont="1" applyFill="1" applyBorder="1" applyAlignment="1" applyProtection="1">
      <alignment horizontal="center" vertical="center"/>
      <protection hidden="1"/>
    </xf>
    <xf numFmtId="9" fontId="11" fillId="5" borderId="15" xfId="0" applyNumberFormat="1" applyFont="1" applyFill="1" applyBorder="1" applyAlignment="1">
      <alignment horizontal="center"/>
    </xf>
    <xf numFmtId="9" fontId="11" fillId="5" borderId="16" xfId="0" applyNumberFormat="1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9" fontId="11" fillId="8" borderId="15" xfId="0" applyNumberFormat="1" applyFont="1" applyFill="1" applyBorder="1" applyAlignment="1">
      <alignment horizontal="center"/>
    </xf>
    <xf numFmtId="9" fontId="11" fillId="8" borderId="16" xfId="0" applyNumberFormat="1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9" fontId="11" fillId="5" borderId="22" xfId="0" applyNumberFormat="1" applyFont="1" applyFill="1" applyBorder="1" applyAlignment="1">
      <alignment horizontal="center"/>
    </xf>
    <xf numFmtId="9" fontId="11" fillId="5" borderId="14" xfId="0" applyNumberFormat="1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0" fillId="9" borderId="0" xfId="0" applyFont="1" applyFill="1" applyBorder="1" applyAlignment="1">
      <alignment horizontal="center" vertical="center" textRotation="90"/>
    </xf>
    <xf numFmtId="0" fontId="11" fillId="9" borderId="0" xfId="0" applyFont="1" applyFill="1" applyBorder="1" applyAlignment="1">
      <alignment horizontal="center"/>
    </xf>
    <xf numFmtId="0" fontId="11" fillId="9" borderId="39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47" xfId="0" applyFont="1" applyFill="1" applyBorder="1" applyAlignment="1">
      <alignment horizontal="center"/>
    </xf>
    <xf numFmtId="0" fontId="59" fillId="3" borderId="21" xfId="0" applyFont="1" applyFill="1" applyBorder="1" applyAlignment="1">
      <alignment horizontal="center" vertical="center"/>
    </xf>
    <xf numFmtId="0" fontId="59" fillId="3" borderId="12" xfId="0" applyFont="1" applyFill="1" applyBorder="1" applyAlignment="1">
      <alignment horizontal="center" vertical="center"/>
    </xf>
    <xf numFmtId="0" fontId="59" fillId="3" borderId="13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center" vertical="center"/>
    </xf>
    <xf numFmtId="0" fontId="59" fillId="3" borderId="17" xfId="0" applyFont="1" applyFill="1" applyBorder="1" applyAlignment="1">
      <alignment horizontal="center" vertical="center"/>
    </xf>
    <xf numFmtId="0" fontId="59" fillId="3" borderId="1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" fillId="6" borderId="0" xfId="0" applyFont="1" applyFill="1" applyBorder="1"/>
  </cellXfs>
  <cellStyles count="3">
    <cellStyle name="Hyperlink" xfId="1" builtinId="8"/>
    <cellStyle name="Normal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Salt!$N$29</c:f>
          <c:strCache>
            <c:ptCount val="1"/>
            <c:pt idx="0">
              <c:v>Salts opløselighed i vand som funktion af temperatur</c:v>
            </c:pt>
          </c:strCache>
        </c:strRef>
      </c:tx>
      <c:layout/>
      <c:txPr>
        <a:bodyPr/>
        <a:lstStyle/>
        <a:p>
          <a:pPr>
            <a:defRPr baseline="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46745620491E-2"/>
          <c:y val="0.10282883444554768"/>
          <c:w val="0.74173365285861148"/>
          <c:h val="0.67535617798508363"/>
        </c:manualLayout>
      </c:layout>
      <c:lineChart>
        <c:grouping val="standard"/>
        <c:ser>
          <c:idx val="0"/>
          <c:order val="0"/>
          <c:tx>
            <c:strRef>
              <c:f>Salt!$Q$30</c:f>
              <c:strCache>
                <c:ptCount val="1"/>
                <c:pt idx="0">
                  <c:v>gr salt/100 ml vand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200" baseline="0"/>
                </a:pPr>
                <a:endParaRPr lang="da-DK"/>
              </a:p>
            </c:txPr>
            <c:dLblPos val="b"/>
            <c:showVal val="1"/>
          </c:dLbls>
          <c:cat>
            <c:numRef>
              <c:f>Salt!$N$31:$N$51</c:f>
              <c:numCache>
                <c:formatCode>General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15.5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Salt!$Q$31:$Q$51</c:f>
              <c:numCache>
                <c:formatCode>0.0</c:formatCode>
                <c:ptCount val="21"/>
                <c:pt idx="0">
                  <c:v>35.65</c:v>
                </c:pt>
                <c:pt idx="1">
                  <c:v>35.68</c:v>
                </c:pt>
                <c:pt idx="2">
                  <c:v>35.72</c:v>
                </c:pt>
                <c:pt idx="3">
                  <c:v>35.81</c:v>
                </c:pt>
                <c:pt idx="4">
                  <c:v>35.89</c:v>
                </c:pt>
                <c:pt idx="5">
                  <c:v>35.99</c:v>
                </c:pt>
                <c:pt idx="6">
                  <c:v>36.090000000000003</c:v>
                </c:pt>
                <c:pt idx="7">
                  <c:v>36.229999999999997</c:v>
                </c:pt>
                <c:pt idx="8">
                  <c:v>36.369999999999997</c:v>
                </c:pt>
                <c:pt idx="9">
                  <c:v>36.53</c:v>
                </c:pt>
                <c:pt idx="10">
                  <c:v>36.69</c:v>
                </c:pt>
                <c:pt idx="11">
                  <c:v>36.869999999999997</c:v>
                </c:pt>
                <c:pt idx="12">
                  <c:v>37.04</c:v>
                </c:pt>
                <c:pt idx="13">
                  <c:v>37.25</c:v>
                </c:pt>
                <c:pt idx="14">
                  <c:v>37.46</c:v>
                </c:pt>
                <c:pt idx="15">
                  <c:v>37.700000000000003</c:v>
                </c:pt>
                <c:pt idx="16">
                  <c:v>37.93</c:v>
                </c:pt>
                <c:pt idx="17">
                  <c:v>38.200000000000003</c:v>
                </c:pt>
                <c:pt idx="18">
                  <c:v>38.47</c:v>
                </c:pt>
                <c:pt idx="19">
                  <c:v>38.729999999999997</c:v>
                </c:pt>
                <c:pt idx="20">
                  <c:v>38.99</c:v>
                </c:pt>
              </c:numCache>
            </c:numRef>
          </c:val>
        </c:ser>
        <c:marker val="1"/>
        <c:axId val="72501888"/>
        <c:axId val="72516352"/>
      </c:lineChart>
      <c:catAx>
        <c:axId val="72501888"/>
        <c:scaling>
          <c:orientation val="minMax"/>
        </c:scaling>
        <c:axPos val="b"/>
        <c:majorGridlines/>
        <c:minorGridlines/>
        <c:title>
          <c:tx>
            <c:strRef>
              <c:f>Salt!$N$30</c:f>
              <c:strCache>
                <c:ptCount val="1"/>
                <c:pt idx="0">
                  <c:v>Temperatur °C</c:v>
                </c:pt>
              </c:strCache>
            </c:strRef>
          </c:tx>
          <c:layout>
            <c:manualLayout>
              <c:xMode val="edge"/>
              <c:yMode val="edge"/>
              <c:x val="0.415482623010963"/>
              <c:y val="0.89491703710446613"/>
            </c:manualLayout>
          </c:layout>
          <c:txPr>
            <a:bodyPr/>
            <a:lstStyle/>
            <a:p>
              <a:pPr>
                <a:defRPr sz="14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400" baseline="0"/>
            </a:pPr>
            <a:endParaRPr lang="da-DK"/>
          </a:p>
        </c:txPr>
        <c:crossAx val="72516352"/>
        <c:crosses val="autoZero"/>
        <c:auto val="1"/>
        <c:lblAlgn val="ctr"/>
        <c:lblOffset val="100"/>
        <c:tickLblSkip val="1"/>
      </c:catAx>
      <c:valAx>
        <c:axId val="72516352"/>
        <c:scaling>
          <c:orientation val="minMax"/>
          <c:max val="40"/>
          <c:min val="34"/>
        </c:scaling>
        <c:axPos val="l"/>
        <c:majorGridlines/>
        <c:minorGridlines/>
        <c:title>
          <c:tx>
            <c:strRef>
              <c:f>Salt!$Q$30</c:f>
              <c:strCache>
                <c:ptCount val="1"/>
                <c:pt idx="0">
                  <c:v>gr salt/100 ml vand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400" baseline="0"/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400" baseline="0"/>
            </a:pPr>
            <a:endParaRPr lang="da-DK"/>
          </a:p>
        </c:txPr>
        <c:crossAx val="72501888"/>
        <c:crosses val="autoZero"/>
        <c:crossBetween val="midCat"/>
        <c:majorUnit val="1"/>
        <c:minorUnit val="0.5"/>
      </c:valAx>
      <c:spPr>
        <a:solidFill>
          <a:srgbClr val="1F497D">
            <a:lumMod val="20000"/>
            <a:lumOff val="80000"/>
          </a:srgbClr>
        </a:solidFill>
      </c:spPr>
    </c:plotArea>
    <c:legend>
      <c:legendPos val="r"/>
      <c:layout>
        <c:manualLayout>
          <c:xMode val="edge"/>
          <c:yMode val="edge"/>
          <c:x val="0.86993842315524661"/>
          <c:y val="0.39536940107921636"/>
          <c:w val="0.12066898855836825"/>
          <c:h val="0.23678813992181624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da-DK"/>
        </a:p>
      </c:txPr>
    </c:legend>
    <c:plotVisOnly val="1"/>
    <c:dispBlanksAs val="span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1496062992127788" footer="0.314960629921277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3</xdr:row>
      <xdr:rowOff>133350</xdr:rowOff>
    </xdr:from>
    <xdr:to>
      <xdr:col>32</xdr:col>
      <xdr:colOff>0</xdr:colOff>
      <xdr:row>26</xdr:row>
      <xdr:rowOff>304800</xdr:rowOff>
    </xdr:to>
    <xdr:graphicFrame macro="">
      <xdr:nvGraphicFramePr>
        <xdr:cNvPr id="103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114300</xdr:colOff>
      <xdr:row>43</xdr:row>
      <xdr:rowOff>85725</xdr:rowOff>
    </xdr:from>
    <xdr:to>
      <xdr:col>26</xdr:col>
      <xdr:colOff>114301</xdr:colOff>
      <xdr:row>47</xdr:row>
      <xdr:rowOff>123825</xdr:rowOff>
    </xdr:to>
    <xdr:pic>
      <xdr:nvPicPr>
        <xdr:cNvPr id="1030" name="Picture 6" descr="\underset{\color{Magenta} \textup{(opl\o st stof + opl\o sningsmiddel)}}{\underset{\textup{8,00 g KCl + 42,00 g H}_{2}\textup{O}}{\underbrace{\frac{\textup{8,00 g KCl}}{\textup{50 g opl\o sning}}}}}\cdot \textup{100%}=\textup{16,0% }(^{\textup{m}}/_{\textup{m}}) \textup{ KCl opl\o sning}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936325" y="11020425"/>
          <a:ext cx="4552951" cy="8001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123823</xdr:colOff>
      <xdr:row>56</xdr:row>
      <xdr:rowOff>180975</xdr:rowOff>
    </xdr:from>
    <xdr:to>
      <xdr:col>6</xdr:col>
      <xdr:colOff>993598</xdr:colOff>
      <xdr:row>69</xdr:row>
      <xdr:rowOff>85725</xdr:rowOff>
    </xdr:to>
    <xdr:pic>
      <xdr:nvPicPr>
        <xdr:cNvPr id="4" name="Billede 3" descr="different salt crystals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3" y="13668375"/>
          <a:ext cx="648000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114299</xdr:colOff>
      <xdr:row>72</xdr:row>
      <xdr:rowOff>47624</xdr:rowOff>
    </xdr:from>
    <xdr:to>
      <xdr:col>6</xdr:col>
      <xdr:colOff>984074</xdr:colOff>
      <xdr:row>86</xdr:row>
      <xdr:rowOff>114299</xdr:rowOff>
    </xdr:to>
    <xdr:pic>
      <xdr:nvPicPr>
        <xdr:cNvPr id="5" name="Billede 4" descr="salt crystal schematic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91149" y="16583024"/>
          <a:ext cx="6480000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79</xdr:row>
      <xdr:rowOff>142875</xdr:rowOff>
    </xdr:from>
    <xdr:to>
      <xdr:col>9</xdr:col>
      <xdr:colOff>385763</xdr:colOff>
      <xdr:row>108</xdr:row>
      <xdr:rowOff>152400</xdr:rowOff>
    </xdr:to>
    <xdr:pic>
      <xdr:nvPicPr>
        <xdr:cNvPr id="3073" name="Picture 1" descr="Eutectic Point and Eutectic Mixture Definition and Exampl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18173700"/>
          <a:ext cx="8301038" cy="55340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428625</xdr:colOff>
      <xdr:row>79</xdr:row>
      <xdr:rowOff>142875</xdr:rowOff>
    </xdr:from>
    <xdr:to>
      <xdr:col>22</xdr:col>
      <xdr:colOff>66675</xdr:colOff>
      <xdr:row>108</xdr:row>
      <xdr:rowOff>185256</xdr:rowOff>
    </xdr:to>
    <xdr:pic>
      <xdr:nvPicPr>
        <xdr:cNvPr id="3074" name="Picture 2" descr="Phase diagram of salt wate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48800" y="18173700"/>
          <a:ext cx="7562850" cy="55668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xxy7o4I3BMQ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haandbrygforum.dk/gallery/albums/userpics/10002/Sukker_Alk.pdf" TargetMode="External"/><Relationship Id="rId7" Type="http://schemas.openxmlformats.org/officeDocument/2006/relationships/hyperlink" Target="https://kemi.androide.dk/12-oploesninger/12-3-oploeselighed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ilpi.com/msds/ref/baumescale.html" TargetMode="External"/><Relationship Id="rId1" Type="http://schemas.openxmlformats.org/officeDocument/2006/relationships/hyperlink" Target="http://www.formel.dk/kemi/tabeller/saltes%20oploeselighed.htm" TargetMode="External"/><Relationship Id="rId6" Type="http://schemas.openxmlformats.org/officeDocument/2006/relationships/hyperlink" Target="http://www.walter-lystfisker.dk/" TargetMode="External"/><Relationship Id="rId11" Type="http://schemas.openxmlformats.org/officeDocument/2006/relationships/hyperlink" Target="https://da.wikipedia.org/wiki/Kaliumklorid" TargetMode="External"/><Relationship Id="rId5" Type="http://schemas.openxmlformats.org/officeDocument/2006/relationships/hyperlink" Target="https://richter-nielsen.dk/blog/saltmetoder/" TargetMode="External"/><Relationship Id="rId10" Type="http://schemas.openxmlformats.org/officeDocument/2006/relationships/hyperlink" Target="https://www.handymath.com/cgi-bin/nacltble.cgi?submit=Back+to+Calculator&amp;tmptr=&amp;spcfgrv=&amp;conc=" TargetMode="External"/><Relationship Id="rId4" Type="http://schemas.openxmlformats.org/officeDocument/2006/relationships/hyperlink" Target="https://www.raeucherwiki.de/wie-errechne-ich-die-salzmenge-fuer-poekellake/" TargetMode="External"/><Relationship Id="rId9" Type="http://schemas.openxmlformats.org/officeDocument/2006/relationships/hyperlink" Target="https://en.wikipedia.org/wiki/Solubility_tabl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todikogsmag.dk/saltning/rimning/saadan-rimmer-du-fisk/" TargetMode="External"/><Relationship Id="rId7" Type="http://schemas.openxmlformats.org/officeDocument/2006/relationships/hyperlink" Target="https://www.tf.uni-kiel.de/matwis/amat/iss/kap_6/illustr/i6_2_2.html" TargetMode="External"/><Relationship Id="rId2" Type="http://schemas.openxmlformats.org/officeDocument/2006/relationships/hyperlink" Target="https://books.google.dk/books?id=YngepOh0gx0C&amp;pg=PA159&amp;lpg=PA159&amp;dq=salometer+degrees&amp;source=bl&amp;ots=DokSrP_K_3&amp;sig=ACfU3U2AVQk45_9850wyAvcGzTW7ZGaW-Q&amp;hl=da&amp;sa=X&amp;ved=2ahUKEwjLxITq4vPkAhU76KYKHQfABpYQ6AEwEXoECAkQAQ" TargetMode="External"/><Relationship Id="rId1" Type="http://schemas.openxmlformats.org/officeDocument/2006/relationships/hyperlink" Target="https://www.thecheesemaker.com/salometer-brine-hydrometer-salinometer-salimeter/" TargetMode="External"/><Relationship Id="rId6" Type="http://schemas.openxmlformats.org/officeDocument/2006/relationships/hyperlink" Target="https://www.sousvidebogen.dk/opskrifter/salt-sukker-sprangning/" TargetMode="External"/><Relationship Id="rId5" Type="http://schemas.openxmlformats.org/officeDocument/2006/relationships/hyperlink" Target="http://www.walter-lystfisker.dk/" TargetMode="External"/><Relationship Id="rId4" Type="http://schemas.openxmlformats.org/officeDocument/2006/relationships/hyperlink" Target="https://www.thecheesemaker.com/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alter-lystfisker.dk/" TargetMode="External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72"/>
  <sheetViews>
    <sheetView zoomScaleNormal="100" workbookViewId="0">
      <selection sqref="A1:K1"/>
    </sheetView>
  </sheetViews>
  <sheetFormatPr defaultColWidth="9.140625" defaultRowHeight="15"/>
  <cols>
    <col min="1" max="1" width="8.7109375" style="252" customWidth="1"/>
    <col min="2" max="2" width="45.7109375" style="252" customWidth="1"/>
    <col min="3" max="3" width="24.7109375" style="252" customWidth="1"/>
    <col min="4" max="4" width="23.7109375" style="252" customWidth="1"/>
    <col min="5" max="5" width="13.7109375" style="252" customWidth="1"/>
    <col min="6" max="6" width="46.7109375" style="252" customWidth="1"/>
    <col min="7" max="7" width="16.7109375" style="252" customWidth="1"/>
    <col min="8" max="9" width="18.7109375" style="252" customWidth="1"/>
    <col min="10" max="10" width="16.7109375" style="252" customWidth="1"/>
    <col min="11" max="11" width="10.7109375" style="252" customWidth="1"/>
    <col min="12" max="12" width="10.7109375" style="415" customWidth="1"/>
    <col min="13" max="13" width="10.85546875" style="252" customWidth="1"/>
    <col min="14" max="14" width="16" style="252" customWidth="1"/>
    <col min="15" max="16" width="12.7109375" style="252" customWidth="1"/>
    <col min="17" max="17" width="21.28515625" style="252" customWidth="1"/>
    <col min="18" max="19" width="12.7109375" style="252" customWidth="1"/>
    <col min="20" max="20" width="2.7109375" style="252" customWidth="1"/>
    <col min="21" max="21" width="14.7109375" style="252" customWidth="1"/>
    <col min="22" max="26" width="10.7109375" style="252" customWidth="1"/>
    <col min="27" max="27" width="11.7109375" style="252" customWidth="1"/>
    <col min="28" max="29" width="10.7109375" style="252" customWidth="1"/>
    <col min="30" max="34" width="9.7109375" style="252" customWidth="1"/>
    <col min="35" max="36" width="8.85546875" style="252" customWidth="1"/>
    <col min="37" max="16384" width="9.140625" style="252"/>
  </cols>
  <sheetData>
    <row r="1" spans="1:35" ht="23.1" customHeight="1">
      <c r="A1" s="427" t="s">
        <v>391</v>
      </c>
      <c r="B1" s="428"/>
      <c r="C1" s="428"/>
      <c r="D1" s="428"/>
      <c r="E1" s="428"/>
      <c r="F1" s="428"/>
      <c r="G1" s="428"/>
      <c r="H1" s="428"/>
      <c r="I1" s="428"/>
      <c r="J1" s="428"/>
      <c r="K1" s="429"/>
      <c r="L1" s="247"/>
      <c r="M1" s="248" t="s">
        <v>262</v>
      </c>
      <c r="N1" s="249"/>
      <c r="O1" s="250"/>
      <c r="P1" s="250"/>
      <c r="Q1" s="250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</row>
    <row r="2" spans="1:35" ht="23.1" customHeight="1">
      <c r="A2" s="453" t="s">
        <v>392</v>
      </c>
      <c r="B2" s="253" t="s">
        <v>267</v>
      </c>
      <c r="C2" s="254" t="s">
        <v>269</v>
      </c>
      <c r="D2" s="254" t="s">
        <v>268</v>
      </c>
      <c r="E2" s="255"/>
      <c r="F2" s="255"/>
      <c r="G2" s="255"/>
      <c r="H2" s="255" t="s">
        <v>9</v>
      </c>
      <c r="I2" s="255"/>
      <c r="J2" s="255"/>
      <c r="K2" s="256"/>
      <c r="L2" s="247"/>
      <c r="M2" s="248" t="s">
        <v>263</v>
      </c>
      <c r="N2" s="249"/>
      <c r="O2" s="257"/>
      <c r="P2" s="258"/>
      <c r="Q2" s="259"/>
      <c r="R2" s="260"/>
      <c r="S2" s="260"/>
      <c r="T2" s="260"/>
      <c r="U2" s="260"/>
      <c r="V2" s="260"/>
      <c r="W2" s="261" t="s">
        <v>265</v>
      </c>
      <c r="X2" s="260"/>
      <c r="Y2" s="260"/>
      <c r="Z2" s="245" t="s">
        <v>15</v>
      </c>
      <c r="AA2" s="260"/>
      <c r="AB2" s="260"/>
      <c r="AC2" s="260"/>
      <c r="AD2" s="260"/>
      <c r="AE2" s="260"/>
      <c r="AF2" s="260"/>
      <c r="AG2" s="260"/>
      <c r="AH2" s="260"/>
      <c r="AI2" s="260"/>
    </row>
    <row r="3" spans="1:35" ht="23.1" customHeight="1">
      <c r="A3" s="453"/>
      <c r="B3" s="262" t="s">
        <v>270</v>
      </c>
      <c r="C3" s="433" t="s">
        <v>271</v>
      </c>
      <c r="D3" s="435"/>
      <c r="E3" s="254"/>
      <c r="F3" s="263" t="s">
        <v>276</v>
      </c>
      <c r="G3" s="255"/>
      <c r="H3" s="255" t="s">
        <v>278</v>
      </c>
      <c r="I3" s="255"/>
      <c r="J3" s="255"/>
      <c r="K3" s="256"/>
      <c r="L3" s="247"/>
      <c r="M3" s="248" t="s">
        <v>264</v>
      </c>
      <c r="N3" s="249"/>
      <c r="O3" s="257"/>
      <c r="P3" s="258"/>
      <c r="Q3" s="259"/>
      <c r="R3" s="264"/>
      <c r="S3" s="260"/>
      <c r="T3" s="264"/>
      <c r="U3" s="260"/>
      <c r="V3" s="264"/>
      <c r="W3" s="261" t="s">
        <v>266</v>
      </c>
      <c r="X3" s="264"/>
      <c r="Y3" s="260"/>
      <c r="Z3" s="264"/>
      <c r="AA3" s="260"/>
      <c r="AB3" s="264"/>
      <c r="AC3" s="260"/>
      <c r="AD3" s="264"/>
      <c r="AE3" s="260"/>
      <c r="AF3" s="264"/>
      <c r="AG3" s="260"/>
      <c r="AH3" s="264"/>
      <c r="AI3" s="260"/>
    </row>
    <row r="4" spans="1:35" ht="23.1" customHeight="1">
      <c r="A4" s="453"/>
      <c r="B4" s="204">
        <v>100</v>
      </c>
      <c r="C4" s="196">
        <v>1000</v>
      </c>
      <c r="D4" s="1">
        <v>247</v>
      </c>
      <c r="E4" s="254"/>
      <c r="F4" s="265">
        <f>+C4+D4</f>
        <v>1247</v>
      </c>
      <c r="G4" s="266"/>
      <c r="H4" s="267" t="s">
        <v>0</v>
      </c>
      <c r="I4" s="268" t="s">
        <v>5</v>
      </c>
      <c r="J4" s="269" t="s">
        <v>102</v>
      </c>
      <c r="K4" s="270"/>
      <c r="L4" s="247"/>
      <c r="M4" s="271"/>
      <c r="N4" s="249"/>
      <c r="O4" s="257"/>
      <c r="P4" s="258"/>
      <c r="Q4" s="259"/>
      <c r="R4" s="272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2"/>
      <c r="AG4" s="272"/>
      <c r="AH4" s="272"/>
      <c r="AI4" s="272"/>
    </row>
    <row r="5" spans="1:35" ht="23.1" customHeight="1">
      <c r="A5" s="453"/>
      <c r="B5" s="441" t="s">
        <v>272</v>
      </c>
      <c r="C5" s="439" t="s">
        <v>420</v>
      </c>
      <c r="D5" s="440"/>
      <c r="E5" s="266"/>
      <c r="F5" s="266"/>
      <c r="G5" s="266"/>
      <c r="H5" s="274">
        <v>146.44999999999999</v>
      </c>
      <c r="I5" s="275" t="s">
        <v>6</v>
      </c>
      <c r="J5" s="276">
        <v>146.78</v>
      </c>
      <c r="K5" s="270"/>
      <c r="L5" s="247"/>
      <c r="M5" s="271"/>
      <c r="N5" s="249"/>
      <c r="O5" s="257"/>
      <c r="P5" s="258"/>
      <c r="Q5" s="259"/>
      <c r="R5" s="251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51"/>
      <c r="AG5" s="251"/>
      <c r="AH5" s="251"/>
      <c r="AI5" s="251"/>
    </row>
    <row r="6" spans="1:35" ht="23.1" customHeight="1">
      <c r="A6" s="453"/>
      <c r="B6" s="442"/>
      <c r="C6" s="278" t="str">
        <f>CONCATENATE("Vand ved ",B4,M29," fylder")</f>
        <v>Vand ved 100 °C fylder</v>
      </c>
      <c r="D6" s="278" t="s">
        <v>99</v>
      </c>
      <c r="E6" s="255"/>
      <c r="F6" s="263" t="s">
        <v>277</v>
      </c>
      <c r="G6" s="266"/>
      <c r="H6" s="255" t="s">
        <v>36</v>
      </c>
      <c r="I6" s="255"/>
      <c r="J6" s="279"/>
      <c r="K6" s="280"/>
      <c r="L6" s="247"/>
      <c r="M6" s="271"/>
      <c r="N6" s="249"/>
      <c r="O6" s="257"/>
      <c r="P6" s="258"/>
      <c r="Q6" s="259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</row>
    <row r="7" spans="1:35" ht="23.1" customHeight="1">
      <c r="A7" s="453"/>
      <c r="B7" s="281" t="s">
        <v>273</v>
      </c>
      <c r="C7" s="282">
        <f>+C4/M31</f>
        <v>1042.4235095689266</v>
      </c>
      <c r="D7" s="282">
        <f>D4/H8</f>
        <v>76.779608330742931</v>
      </c>
      <c r="E7" s="266"/>
      <c r="F7" s="265">
        <f>+C7+D7</f>
        <v>1119.2031178996697</v>
      </c>
      <c r="G7" s="283"/>
      <c r="H7" s="284">
        <v>2.165</v>
      </c>
      <c r="I7" s="285" t="s">
        <v>8</v>
      </c>
      <c r="J7" s="286" t="s">
        <v>101</v>
      </c>
      <c r="K7" s="270"/>
      <c r="L7" s="247"/>
      <c r="M7" s="271"/>
      <c r="N7" s="249"/>
      <c r="O7" s="257"/>
      <c r="P7" s="258"/>
      <c r="Q7" s="259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</row>
    <row r="8" spans="1:35" ht="23.1" customHeight="1">
      <c r="A8" s="453"/>
      <c r="B8" s="441" t="s">
        <v>274</v>
      </c>
      <c r="C8" s="444" t="s">
        <v>275</v>
      </c>
      <c r="D8" s="445"/>
      <c r="E8" s="266"/>
      <c r="F8" s="287" t="s">
        <v>279</v>
      </c>
      <c r="G8" s="288"/>
      <c r="H8" s="289">
        <v>3.2170000000000001</v>
      </c>
      <c r="I8" s="290" t="s">
        <v>8</v>
      </c>
      <c r="J8" s="291" t="s">
        <v>38</v>
      </c>
      <c r="K8" s="292"/>
      <c r="L8" s="247"/>
      <c r="M8" s="271"/>
      <c r="N8" s="249"/>
      <c r="O8" s="257"/>
      <c r="P8" s="258"/>
      <c r="Q8" s="259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</row>
    <row r="9" spans="1:35" ht="23.1" customHeight="1">
      <c r="A9" s="453"/>
      <c r="B9" s="443"/>
      <c r="C9" s="446"/>
      <c r="D9" s="447"/>
      <c r="E9" s="293"/>
      <c r="F9" s="287" t="s">
        <v>338</v>
      </c>
      <c r="G9" s="294"/>
      <c r="H9" s="295">
        <f>+D4/F4</f>
        <v>0.19807538091419408</v>
      </c>
      <c r="I9" s="296" t="s">
        <v>281</v>
      </c>
      <c r="J9" s="297"/>
      <c r="K9" s="298"/>
      <c r="L9" s="247"/>
      <c r="M9" s="271"/>
      <c r="N9" s="249"/>
      <c r="O9" s="257"/>
      <c r="P9" s="258"/>
      <c r="Q9" s="259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</row>
    <row r="10" spans="1:35" ht="23.1" customHeight="1">
      <c r="A10" s="453"/>
      <c r="B10" s="443"/>
      <c r="C10" s="446"/>
      <c r="D10" s="447"/>
      <c r="E10" s="293"/>
      <c r="F10" s="287" t="s">
        <v>280</v>
      </c>
      <c r="G10" s="299"/>
      <c r="H10" s="417">
        <f>+ROUND(F4/F7,4)</f>
        <v>1.1142000000000001</v>
      </c>
      <c r="I10" s="296" t="s">
        <v>7</v>
      </c>
      <c r="J10" s="300"/>
      <c r="K10" s="256"/>
      <c r="L10" s="301"/>
      <c r="M10" s="271"/>
      <c r="N10" s="249"/>
      <c r="O10" s="257"/>
      <c r="P10" s="258"/>
      <c r="Q10" s="259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</row>
    <row r="11" spans="1:35" ht="23.1" customHeight="1">
      <c r="A11" s="453"/>
      <c r="B11" s="442"/>
      <c r="C11" s="448"/>
      <c r="D11" s="449"/>
      <c r="E11" s="293"/>
      <c r="F11" s="302" t="s">
        <v>243</v>
      </c>
      <c r="G11" s="303">
        <f>+H5/(H5-H11)</f>
        <v>1.1141118295930013</v>
      </c>
      <c r="H11" s="304">
        <f>ROUND(+H5*(1-1/H10),1)</f>
        <v>15</v>
      </c>
      <c r="I11" s="296" t="s">
        <v>1</v>
      </c>
      <c r="J11" s="451" t="s">
        <v>319</v>
      </c>
      <c r="K11" s="452"/>
      <c r="L11" s="247"/>
      <c r="M11" s="271"/>
      <c r="N11" s="249"/>
      <c r="O11" s="257"/>
      <c r="P11" s="258"/>
      <c r="Q11" s="259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</row>
    <row r="12" spans="1:35" ht="22.5" customHeight="1">
      <c r="A12" s="453"/>
      <c r="B12" s="457" t="str">
        <f>IF(H9&gt;M32,"You have used too much salt. No more salt can be dissolved                                                                             in the indicated  amount of water at this temperature",X36)</f>
        <v>Undermættet</v>
      </c>
      <c r="C12" s="457"/>
      <c r="D12" s="457"/>
      <c r="E12" s="305"/>
      <c r="F12" s="287" t="s">
        <v>50</v>
      </c>
      <c r="G12" s="279"/>
      <c r="H12" s="304">
        <f>(F30*H10^3)-(F31*H10^2)+(F32*H10)-F33</f>
        <v>26.847960173307342</v>
      </c>
      <c r="I12" s="296" t="s">
        <v>50</v>
      </c>
      <c r="J12" s="300"/>
      <c r="K12" s="270"/>
      <c r="L12" s="247"/>
      <c r="M12" s="271"/>
      <c r="N12" s="249"/>
      <c r="O12" s="257"/>
      <c r="P12" s="258"/>
      <c r="Q12" s="259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</row>
    <row r="13" spans="1:35" ht="23.1" customHeight="1">
      <c r="A13" s="453"/>
      <c r="B13" s="458"/>
      <c r="C13" s="458"/>
      <c r="D13" s="458"/>
      <c r="E13" s="305"/>
      <c r="F13" s="305"/>
      <c r="G13" s="430" t="s">
        <v>282</v>
      </c>
      <c r="H13" s="431"/>
      <c r="I13" s="432"/>
      <c r="J13" s="306"/>
      <c r="K13" s="307"/>
      <c r="L13" s="247"/>
      <c r="M13" s="271"/>
      <c r="N13" s="249"/>
      <c r="O13" s="257"/>
      <c r="P13" s="258"/>
      <c r="Q13" s="259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</row>
    <row r="14" spans="1:35" ht="23.1" customHeight="1">
      <c r="A14" s="453"/>
      <c r="B14" s="450" t="s">
        <v>295</v>
      </c>
      <c r="C14" s="450"/>
      <c r="D14" s="450"/>
      <c r="E14" s="279"/>
      <c r="F14" s="308" t="s">
        <v>296</v>
      </c>
      <c r="G14" s="433" t="s">
        <v>283</v>
      </c>
      <c r="H14" s="434"/>
      <c r="I14" s="435"/>
      <c r="J14" s="306"/>
      <c r="K14" s="307"/>
      <c r="L14" s="247"/>
      <c r="M14" s="271"/>
      <c r="N14" s="249"/>
      <c r="O14" s="257"/>
      <c r="P14" s="258"/>
      <c r="Q14" s="259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</row>
    <row r="15" spans="1:35" ht="23.1" customHeight="1">
      <c r="A15" s="453"/>
      <c r="B15" s="450"/>
      <c r="C15" s="450"/>
      <c r="D15" s="450"/>
      <c r="E15" s="300"/>
      <c r="F15" s="300"/>
      <c r="G15" s="436" t="s">
        <v>284</v>
      </c>
      <c r="H15" s="437"/>
      <c r="I15" s="438"/>
      <c r="J15" s="300"/>
      <c r="K15" s="270"/>
      <c r="L15" s="247"/>
      <c r="M15" s="271"/>
      <c r="N15" s="249"/>
      <c r="O15" s="257"/>
      <c r="P15" s="258"/>
      <c r="Q15" s="259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</row>
    <row r="16" spans="1:35" ht="23.1" customHeight="1">
      <c r="A16" s="309"/>
      <c r="B16" s="308" t="s">
        <v>291</v>
      </c>
      <c r="C16" s="300"/>
      <c r="D16" s="279"/>
      <c r="E16" s="279"/>
      <c r="F16" s="308" t="s">
        <v>297</v>
      </c>
      <c r="G16" s="436" t="s">
        <v>285</v>
      </c>
      <c r="H16" s="438"/>
      <c r="I16" s="310">
        <f>+Salometer!A5</f>
        <v>14.8</v>
      </c>
      <c r="J16" s="300"/>
      <c r="K16" s="270"/>
      <c r="L16" s="247"/>
      <c r="M16" s="271"/>
      <c r="N16" s="249"/>
      <c r="O16" s="257"/>
      <c r="P16" s="258"/>
      <c r="Q16" s="259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</row>
    <row r="17" spans="1:35" ht="23.1" customHeight="1">
      <c r="A17" s="309"/>
      <c r="B17" s="300"/>
      <c r="C17" s="300"/>
      <c r="D17" s="255"/>
      <c r="E17" s="255"/>
      <c r="F17" s="300"/>
      <c r="G17" s="436" t="s">
        <v>286</v>
      </c>
      <c r="H17" s="438"/>
      <c r="I17" s="311">
        <f>+Salometer!A6</f>
        <v>58</v>
      </c>
      <c r="J17" s="300"/>
      <c r="K17" s="270"/>
      <c r="L17" s="247"/>
      <c r="M17" s="271"/>
      <c r="N17" s="249"/>
      <c r="O17" s="257"/>
      <c r="P17" s="258"/>
      <c r="Q17" s="259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</row>
    <row r="18" spans="1:35" ht="23.1" customHeight="1">
      <c r="A18" s="309"/>
      <c r="B18" s="308" t="s">
        <v>292</v>
      </c>
      <c r="C18" s="300"/>
      <c r="D18" s="279"/>
      <c r="E18" s="279"/>
      <c r="F18" s="308" t="s">
        <v>298</v>
      </c>
      <c r="G18" s="436" t="s">
        <v>287</v>
      </c>
      <c r="H18" s="438"/>
      <c r="I18" s="310">
        <f>+Salometer!A7</f>
        <v>15.308999999999999</v>
      </c>
      <c r="J18" s="300"/>
      <c r="K18" s="270"/>
      <c r="L18" s="247"/>
      <c r="M18" s="271"/>
      <c r="N18" s="249"/>
      <c r="O18" s="257"/>
      <c r="P18" s="258"/>
      <c r="Q18" s="259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</row>
    <row r="19" spans="1:35" ht="23.1" customHeight="1">
      <c r="A19" s="309"/>
      <c r="B19" s="255"/>
      <c r="C19" s="300"/>
      <c r="D19" s="255"/>
      <c r="E19" s="255"/>
      <c r="F19" s="300"/>
      <c r="G19" s="436" t="s">
        <v>288</v>
      </c>
      <c r="H19" s="438"/>
      <c r="I19" s="311">
        <f>+Salometer!A8</f>
        <v>180.2</v>
      </c>
      <c r="J19" s="300"/>
      <c r="K19" s="270"/>
      <c r="L19" s="247"/>
      <c r="M19" s="271"/>
      <c r="N19" s="249"/>
      <c r="O19" s="257"/>
      <c r="P19" s="258"/>
      <c r="Q19" s="259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</row>
    <row r="20" spans="1:35" ht="23.1" customHeight="1">
      <c r="A20" s="309"/>
      <c r="B20" s="308" t="s">
        <v>293</v>
      </c>
      <c r="C20" s="300"/>
      <c r="D20" s="279"/>
      <c r="E20" s="279"/>
      <c r="F20" s="308" t="s">
        <v>299</v>
      </c>
      <c r="G20" s="436" t="s">
        <v>289</v>
      </c>
      <c r="H20" s="438"/>
      <c r="I20" s="312">
        <f>+Salometer!A9</f>
        <v>1.1140000000000001</v>
      </c>
      <c r="J20" s="300"/>
      <c r="K20" s="270"/>
      <c r="L20" s="247"/>
      <c r="M20" s="271"/>
      <c r="N20" s="249"/>
      <c r="O20" s="257"/>
      <c r="P20" s="258"/>
      <c r="Q20" s="259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</row>
    <row r="21" spans="1:35" ht="23.1" customHeight="1">
      <c r="A21" s="313"/>
      <c r="B21" s="300"/>
      <c r="C21" s="300"/>
      <c r="D21" s="255"/>
      <c r="E21" s="255"/>
      <c r="F21" s="300"/>
      <c r="G21" s="436" t="s">
        <v>290</v>
      </c>
      <c r="H21" s="438"/>
      <c r="I21" s="311">
        <f>+Salometer!A10</f>
        <v>-11.2</v>
      </c>
      <c r="J21" s="300"/>
      <c r="K21" s="270"/>
      <c r="L21" s="247"/>
      <c r="M21" s="271"/>
      <c r="N21" s="249"/>
      <c r="O21" s="257"/>
      <c r="P21" s="258"/>
      <c r="Q21" s="259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</row>
    <row r="22" spans="1:35" ht="23.1" customHeight="1">
      <c r="A22" s="309"/>
      <c r="B22" s="308" t="s">
        <v>294</v>
      </c>
      <c r="C22" s="300"/>
      <c r="D22" s="279"/>
      <c r="E22" s="279"/>
      <c r="F22" s="308" t="s">
        <v>10</v>
      </c>
      <c r="G22" s="459" t="str">
        <f>CONCATENATE(X36,Z36, AA36,AB36)</f>
        <v>Undermættet med 142,9 g salt</v>
      </c>
      <c r="H22" s="460"/>
      <c r="I22" s="441"/>
      <c r="J22" s="314"/>
      <c r="K22" s="315"/>
      <c r="L22" s="247"/>
      <c r="M22" s="271"/>
      <c r="N22" s="249"/>
      <c r="O22" s="277"/>
      <c r="P22" s="277"/>
      <c r="Q22" s="277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</row>
    <row r="23" spans="1:35" ht="23.1" customHeight="1">
      <c r="A23" s="309"/>
      <c r="B23" s="300"/>
      <c r="C23" s="300"/>
      <c r="D23" s="255"/>
      <c r="E23" s="255"/>
      <c r="F23" s="300"/>
      <c r="G23" s="461"/>
      <c r="H23" s="462"/>
      <c r="I23" s="442"/>
      <c r="J23" s="314"/>
      <c r="K23" s="315"/>
      <c r="L23" s="247"/>
      <c r="M23" s="271"/>
      <c r="N23" s="249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</row>
    <row r="24" spans="1:35" ht="23.1" customHeight="1">
      <c r="A24" s="309"/>
      <c r="B24" s="316" t="s">
        <v>320</v>
      </c>
      <c r="C24" s="300"/>
      <c r="D24" s="463" t="s">
        <v>321</v>
      </c>
      <c r="E24" s="463"/>
      <c r="F24" s="308"/>
      <c r="G24" s="279"/>
      <c r="H24" s="255"/>
      <c r="I24" s="317"/>
      <c r="J24" s="314"/>
      <c r="K24" s="315"/>
      <c r="L24" s="247"/>
      <c r="M24" s="271"/>
      <c r="N24" s="249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</row>
    <row r="25" spans="1:35" ht="23.1" customHeight="1">
      <c r="A25" s="309"/>
      <c r="B25" s="300"/>
      <c r="C25" s="300"/>
      <c r="D25" s="465" t="s">
        <v>4</v>
      </c>
      <c r="E25" s="465"/>
      <c r="F25" s="464" t="str">
        <f>CONCATENATE(B34,C34,D34,E34,G34,H34,I34,J34,K34)</f>
        <v>Blandingen giver 1,12 liter ved 15 °Baumé og 19,81 vægt %</v>
      </c>
      <c r="G25" s="464"/>
      <c r="H25" s="464"/>
      <c r="I25" s="464"/>
      <c r="J25" s="464"/>
      <c r="K25" s="315"/>
      <c r="L25" s="247"/>
      <c r="M25" s="271"/>
      <c r="N25" s="249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</row>
    <row r="26" spans="1:35" ht="23.1" customHeight="1">
      <c r="A26" s="309"/>
      <c r="B26" s="318"/>
      <c r="C26" s="300"/>
      <c r="D26" s="419" t="s">
        <v>14</v>
      </c>
      <c r="E26" s="419"/>
      <c r="F26" s="296"/>
      <c r="G26" s="296"/>
      <c r="H26" s="296"/>
      <c r="I26" s="296"/>
      <c r="J26" s="296"/>
      <c r="K26" s="315"/>
      <c r="L26" s="247"/>
      <c r="M26" s="271"/>
      <c r="N26" s="249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</row>
    <row r="27" spans="1:35" ht="25.5" customHeight="1" thickBot="1">
      <c r="A27" s="246" t="s">
        <v>2</v>
      </c>
      <c r="B27" s="319"/>
      <c r="C27" s="319"/>
      <c r="D27" s="418"/>
      <c r="E27" s="418"/>
      <c r="F27" s="320"/>
      <c r="G27" s="320"/>
      <c r="H27" s="321"/>
      <c r="I27" s="322"/>
      <c r="J27" s="422" t="s">
        <v>12</v>
      </c>
      <c r="K27" s="423"/>
      <c r="L27" s="247"/>
      <c r="M27" s="271"/>
      <c r="N27" s="249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</row>
    <row r="28" spans="1:35" ht="25.5" customHeight="1">
      <c r="A28" s="323"/>
      <c r="B28" s="324"/>
      <c r="C28" s="325"/>
      <c r="D28" s="326"/>
      <c r="E28" s="326"/>
      <c r="F28" s="327"/>
      <c r="G28" s="327"/>
      <c r="H28" s="257"/>
      <c r="I28" s="328"/>
      <c r="J28" s="200"/>
      <c r="K28" s="200"/>
      <c r="L28" s="247"/>
      <c r="M28" s="271"/>
      <c r="N28" s="456" t="s">
        <v>347</v>
      </c>
      <c r="O28" s="456"/>
      <c r="P28" s="456"/>
      <c r="Q28" s="456"/>
      <c r="R28" s="456"/>
      <c r="S28" s="456"/>
      <c r="T28" s="251"/>
      <c r="U28" s="329" t="s">
        <v>334</v>
      </c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</row>
    <row r="29" spans="1:35" ht="15" customHeight="1">
      <c r="A29" s="277"/>
      <c r="B29" s="324"/>
      <c r="C29" s="327"/>
      <c r="D29" s="330"/>
      <c r="E29" s="251"/>
      <c r="F29" s="331" t="s">
        <v>351</v>
      </c>
      <c r="G29" s="251"/>
      <c r="H29" s="251"/>
      <c r="I29" s="251"/>
      <c r="J29" s="251"/>
      <c r="K29" s="251"/>
      <c r="L29" s="247"/>
      <c r="M29" s="332" t="s">
        <v>360</v>
      </c>
      <c r="N29" s="454" t="s">
        <v>259</v>
      </c>
      <c r="O29" s="454"/>
      <c r="P29" s="454"/>
      <c r="Q29" s="454"/>
      <c r="R29" s="454"/>
      <c r="S29" s="454"/>
      <c r="T29" s="251"/>
      <c r="U29" s="333" t="s">
        <v>322</v>
      </c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</row>
    <row r="30" spans="1:35" ht="15" customHeight="1">
      <c r="A30" s="277"/>
      <c r="B30" s="324"/>
      <c r="C30" s="327"/>
      <c r="D30" s="330"/>
      <c r="E30" s="251"/>
      <c r="F30" s="334">
        <v>143.25399999999999</v>
      </c>
      <c r="G30" s="251"/>
      <c r="H30" s="251"/>
      <c r="I30" s="251"/>
      <c r="J30" s="251"/>
      <c r="K30" s="251"/>
      <c r="L30" s="335"/>
      <c r="M30" s="336">
        <f>B4</f>
        <v>100</v>
      </c>
      <c r="N30" s="337" t="s">
        <v>260</v>
      </c>
      <c r="O30" s="337" t="s">
        <v>350</v>
      </c>
      <c r="P30" s="338" t="s">
        <v>359</v>
      </c>
      <c r="Q30" s="337" t="s">
        <v>261</v>
      </c>
      <c r="R30" s="425" t="s">
        <v>421</v>
      </c>
      <c r="S30" s="426"/>
      <c r="T30" s="251"/>
      <c r="U30" s="251" t="s">
        <v>327</v>
      </c>
      <c r="V30" s="339">
        <f>+B4</f>
        <v>100</v>
      </c>
      <c r="W30" s="332" t="s">
        <v>328</v>
      </c>
      <c r="X30" s="340" t="s">
        <v>329</v>
      </c>
      <c r="Y30" s="251"/>
      <c r="Z30" s="251"/>
      <c r="AA30" s="341">
        <f>M33</f>
        <v>38.99</v>
      </c>
      <c r="AB30" s="251" t="s">
        <v>330</v>
      </c>
      <c r="AC30" s="251"/>
      <c r="AD30" s="251"/>
      <c r="AE30" s="251"/>
      <c r="AF30" s="251"/>
      <c r="AG30" s="251"/>
      <c r="AH30" s="251"/>
      <c r="AI30" s="251"/>
    </row>
    <row r="31" spans="1:35" ht="15" customHeight="1">
      <c r="A31" s="277"/>
      <c r="B31" s="324"/>
      <c r="C31" s="327"/>
      <c r="D31" s="330"/>
      <c r="E31" s="251"/>
      <c r="F31" s="334">
        <v>648.66999999999996</v>
      </c>
      <c r="G31" s="251"/>
      <c r="H31" s="342"/>
      <c r="I31" s="332"/>
      <c r="J31" s="332"/>
      <c r="K31" s="332"/>
      <c r="L31" s="335"/>
      <c r="M31" s="343">
        <f>VLOOKUP($M$30,$N$31:$S$51,2)</f>
        <v>0.95930300000000002</v>
      </c>
      <c r="N31" s="344">
        <v>0</v>
      </c>
      <c r="O31" s="345">
        <v>0.99926199999999998</v>
      </c>
      <c r="P31" s="346">
        <v>0.26200000000000001</v>
      </c>
      <c r="Q31" s="347">
        <v>35.65</v>
      </c>
      <c r="R31" s="348">
        <f>100/O31</f>
        <v>100.07385450462442</v>
      </c>
      <c r="S31" s="349">
        <f>+Q31/(R31+Q31)</f>
        <v>0.26266569078897861</v>
      </c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</row>
    <row r="32" spans="1:35" ht="15" customHeight="1">
      <c r="A32" s="277"/>
      <c r="B32" s="324"/>
      <c r="C32" s="327"/>
      <c r="D32" s="330"/>
      <c r="E32" s="251"/>
      <c r="F32" s="334">
        <v>1125.8050000000001</v>
      </c>
      <c r="G32" s="251"/>
      <c r="H32" s="251"/>
      <c r="I32" s="251"/>
      <c r="J32" s="251"/>
      <c r="K32" s="251"/>
      <c r="L32" s="335"/>
      <c r="M32" s="350">
        <f>VLOOKUP($M$30,$N$31:$S$51,3)</f>
        <v>0.28060000000000002</v>
      </c>
      <c r="N32" s="351">
        <v>4</v>
      </c>
      <c r="O32" s="352">
        <v>1</v>
      </c>
      <c r="P32" s="349">
        <v>0.26350000000000001</v>
      </c>
      <c r="Q32" s="353">
        <v>35.68</v>
      </c>
      <c r="R32" s="348">
        <f>100/O32</f>
        <v>100</v>
      </c>
      <c r="S32" s="349">
        <f>+Q32/(R32+Q32)</f>
        <v>0.26297169811320753</v>
      </c>
      <c r="T32" s="251"/>
      <c r="U32" s="251" t="s">
        <v>323</v>
      </c>
      <c r="V32" s="251"/>
      <c r="W32" s="251"/>
      <c r="X32" s="251"/>
      <c r="Y32" s="371">
        <f>+C4</f>
        <v>1000</v>
      </c>
      <c r="Z32" s="421" t="s">
        <v>325</v>
      </c>
      <c r="AA32" s="421"/>
      <c r="AB32" s="354">
        <f>B4</f>
        <v>100</v>
      </c>
      <c r="AC32" s="332" t="s">
        <v>328</v>
      </c>
      <c r="AD32" s="251"/>
      <c r="AE32" s="251"/>
      <c r="AF32" s="251"/>
      <c r="AG32" s="251"/>
      <c r="AH32" s="251"/>
      <c r="AI32" s="251"/>
    </row>
    <row r="33" spans="1:35" ht="15" customHeight="1">
      <c r="A33" s="277"/>
      <c r="B33" s="324"/>
      <c r="C33" s="327"/>
      <c r="D33" s="330"/>
      <c r="E33" s="355"/>
      <c r="F33" s="334">
        <v>620.38900000000001</v>
      </c>
      <c r="G33" s="355"/>
      <c r="H33" s="355"/>
      <c r="I33" s="251"/>
      <c r="J33" s="251"/>
      <c r="K33" s="251"/>
      <c r="L33" s="335"/>
      <c r="M33" s="332">
        <f>VLOOKUP($M$30,$N$31:$S$51,4)</f>
        <v>38.99</v>
      </c>
      <c r="N33" s="344">
        <v>10</v>
      </c>
      <c r="O33" s="345">
        <v>0.99947150000000007</v>
      </c>
      <c r="P33" s="346">
        <v>0.2636</v>
      </c>
      <c r="Q33" s="347">
        <v>35.72</v>
      </c>
      <c r="R33" s="348">
        <f t="shared" ref="R33:R51" si="0">100/O33</f>
        <v>100.05287794599445</v>
      </c>
      <c r="S33" s="349">
        <f t="shared" ref="S33:S51" si="1">+Q33/(R33+Q33)</f>
        <v>0.26308641711349834</v>
      </c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</row>
    <row r="34" spans="1:35" ht="15" customHeight="1">
      <c r="A34" s="277"/>
      <c r="B34" s="356" t="s">
        <v>315</v>
      </c>
      <c r="C34" s="357">
        <f>+ROUND(F7/1000,2)</f>
        <v>1.1200000000000001</v>
      </c>
      <c r="D34" s="358" t="s">
        <v>11</v>
      </c>
      <c r="E34" s="358" t="s">
        <v>316</v>
      </c>
      <c r="F34" s="358"/>
      <c r="G34" s="359">
        <f>+ROUND(H11,1)</f>
        <v>15</v>
      </c>
      <c r="H34" s="360" t="s">
        <v>3</v>
      </c>
      <c r="I34" s="361" t="s">
        <v>317</v>
      </c>
      <c r="J34" s="362">
        <f>+ROUND(H9*100,2)</f>
        <v>19.809999999999999</v>
      </c>
      <c r="K34" s="363" t="s">
        <v>318</v>
      </c>
      <c r="L34" s="335"/>
      <c r="M34" s="332">
        <f>VLOOKUP($M$30,$N$31:$S$51,6)</f>
        <v>0.27221503898748728</v>
      </c>
      <c r="N34" s="364">
        <v>15.5</v>
      </c>
      <c r="O34" s="365">
        <v>0.99894300000000003</v>
      </c>
      <c r="P34" s="366">
        <v>0.26379999999999998</v>
      </c>
      <c r="Q34" s="367">
        <v>35.81</v>
      </c>
      <c r="R34" s="368">
        <f t="shared" si="0"/>
        <v>100.10581184311818</v>
      </c>
      <c r="S34" s="366">
        <f t="shared" si="1"/>
        <v>0.26347192070142622</v>
      </c>
      <c r="T34" s="251"/>
      <c r="U34" s="369" t="s">
        <v>326</v>
      </c>
      <c r="V34" s="369" t="s">
        <v>331</v>
      </c>
      <c r="W34" s="369"/>
      <c r="X34" s="369"/>
      <c r="Y34" s="369"/>
      <c r="Z34" s="369"/>
      <c r="AA34" s="369"/>
      <c r="AB34" s="370">
        <f>Y32*AA30/100</f>
        <v>389.9</v>
      </c>
      <c r="AC34" s="369" t="s">
        <v>340</v>
      </c>
      <c r="AD34" s="369"/>
      <c r="AE34" s="369"/>
      <c r="AF34" s="371">
        <f>C4</f>
        <v>1000</v>
      </c>
      <c r="AG34" s="369" t="s">
        <v>324</v>
      </c>
      <c r="AH34" s="369"/>
      <c r="AI34" s="251"/>
    </row>
    <row r="35" spans="1:35" ht="15" customHeight="1">
      <c r="A35" s="277"/>
      <c r="B35" s="324"/>
      <c r="C35" s="327"/>
      <c r="D35" s="330"/>
      <c r="E35" s="277"/>
      <c r="F35" s="324"/>
      <c r="G35" s="277"/>
      <c r="H35" s="277"/>
      <c r="I35" s="251"/>
      <c r="J35" s="251"/>
      <c r="K35" s="251"/>
      <c r="L35" s="335"/>
      <c r="M35" s="332"/>
      <c r="N35" s="344">
        <v>20</v>
      </c>
      <c r="O35" s="345">
        <v>0.99820500000000001</v>
      </c>
      <c r="P35" s="346">
        <v>0.26500000000000001</v>
      </c>
      <c r="Q35" s="347">
        <v>35.89</v>
      </c>
      <c r="R35" s="348">
        <f t="shared" si="0"/>
        <v>100.17982278189349</v>
      </c>
      <c r="S35" s="349">
        <f t="shared" si="1"/>
        <v>0.26376164285543408</v>
      </c>
      <c r="T35" s="251"/>
      <c r="U35" s="251" t="s">
        <v>333</v>
      </c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</row>
    <row r="36" spans="1:35" ht="15" customHeight="1">
      <c r="A36" s="277"/>
      <c r="B36" s="324"/>
      <c r="C36" s="327"/>
      <c r="D36" s="330"/>
      <c r="E36" s="251"/>
      <c r="F36" s="324"/>
      <c r="G36" s="251"/>
      <c r="H36" s="251"/>
      <c r="I36" s="251"/>
      <c r="J36" s="251"/>
      <c r="K36" s="251"/>
      <c r="L36" s="335"/>
      <c r="M36" s="251"/>
      <c r="N36" s="351">
        <v>25</v>
      </c>
      <c r="O36" s="352">
        <v>0.99704700000000002</v>
      </c>
      <c r="P36" s="349">
        <v>0.26469999999999999</v>
      </c>
      <c r="Q36" s="353">
        <v>35.99</v>
      </c>
      <c r="R36" s="348">
        <f t="shared" si="0"/>
        <v>100.29617460360444</v>
      </c>
      <c r="S36" s="349">
        <f t="shared" si="1"/>
        <v>0.26407667619022118</v>
      </c>
      <c r="T36" s="251"/>
      <c r="U36" s="251" t="s">
        <v>346</v>
      </c>
      <c r="V36" s="251"/>
      <c r="W36" s="251"/>
      <c r="X36" s="455" t="str">
        <f>IF(AA36&gt;0,"Undermættet",IF(AA36&lt;0,"Overmættet","Mættet"))</f>
        <v>Undermættet</v>
      </c>
      <c r="Y36" s="421"/>
      <c r="Z36" s="332" t="s">
        <v>348</v>
      </c>
      <c r="AA36" s="372">
        <f>ROUND(AB34-AC46,4)</f>
        <v>142.9</v>
      </c>
      <c r="AB36" s="251" t="s">
        <v>349</v>
      </c>
      <c r="AC36" s="251"/>
      <c r="AD36" s="251"/>
      <c r="AE36" s="251"/>
      <c r="AF36" s="251"/>
      <c r="AG36" s="251"/>
      <c r="AH36" s="251"/>
      <c r="AI36" s="251"/>
    </row>
    <row r="37" spans="1:35" ht="15" customHeight="1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335"/>
      <c r="M37" s="251"/>
      <c r="N37" s="344">
        <v>30</v>
      </c>
      <c r="O37" s="345">
        <v>0.99544169999999998</v>
      </c>
      <c r="P37" s="346">
        <v>0.26500000000000001</v>
      </c>
      <c r="Q37" s="347">
        <v>36.090000000000003</v>
      </c>
      <c r="R37" s="348">
        <f t="shared" si="0"/>
        <v>100.45791732454046</v>
      </c>
      <c r="S37" s="349">
        <f t="shared" si="1"/>
        <v>0.26430282282682527</v>
      </c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</row>
    <row r="38" spans="1:35" ht="15" customHeight="1">
      <c r="A38" s="251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335"/>
      <c r="M38" s="251"/>
      <c r="N38" s="351">
        <v>35</v>
      </c>
      <c r="O38" s="352">
        <v>0.99383639999999995</v>
      </c>
      <c r="P38" s="349">
        <v>0.26590000000000003</v>
      </c>
      <c r="Q38" s="353">
        <v>36.229999999999997</v>
      </c>
      <c r="R38" s="348">
        <f t="shared" si="0"/>
        <v>100.62018255720962</v>
      </c>
      <c r="S38" s="349">
        <f t="shared" si="1"/>
        <v>0.26474206554203317</v>
      </c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</row>
    <row r="39" spans="1:35" ht="15" customHeight="1">
      <c r="A39" s="251"/>
      <c r="B39" s="2" t="s">
        <v>258</v>
      </c>
      <c r="C39" s="251"/>
      <c r="D39" s="251"/>
      <c r="E39" s="251"/>
      <c r="F39" s="251"/>
      <c r="G39" s="251"/>
      <c r="H39" s="251"/>
      <c r="I39" s="251"/>
      <c r="J39" s="251"/>
      <c r="K39" s="251"/>
      <c r="L39" s="373"/>
      <c r="M39" s="374"/>
      <c r="N39" s="344">
        <v>40</v>
      </c>
      <c r="O39" s="345">
        <v>0.99223099999999997</v>
      </c>
      <c r="P39" s="346">
        <v>0.26800000000000002</v>
      </c>
      <c r="Q39" s="347">
        <v>36.369999999999997</v>
      </c>
      <c r="R39" s="348">
        <f t="shared" si="0"/>
        <v>100.78298299488728</v>
      </c>
      <c r="S39" s="349">
        <f t="shared" si="1"/>
        <v>0.26517833739974711</v>
      </c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</row>
    <row r="40" spans="1:35" ht="15" customHeight="1">
      <c r="A40" s="251"/>
      <c r="B40" s="251"/>
      <c r="C40" s="251"/>
      <c r="D40" s="375"/>
      <c r="E40" s="350"/>
      <c r="F40" s="251"/>
      <c r="G40" s="251"/>
      <c r="H40" s="251"/>
      <c r="I40" s="251"/>
      <c r="J40" s="251"/>
      <c r="K40" s="251"/>
      <c r="L40" s="376"/>
      <c r="M40" s="251"/>
      <c r="N40" s="351">
        <v>45</v>
      </c>
      <c r="O40" s="352">
        <v>0.99085806999999992</v>
      </c>
      <c r="P40" s="349">
        <v>0.2676</v>
      </c>
      <c r="Q40" s="353">
        <v>36.53</v>
      </c>
      <c r="R40" s="348">
        <f t="shared" si="0"/>
        <v>100.92262759690701</v>
      </c>
      <c r="S40" s="349">
        <f t="shared" si="1"/>
        <v>0.26576429013148972</v>
      </c>
      <c r="T40" s="251"/>
      <c r="U40" s="333" t="s">
        <v>341</v>
      </c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</row>
    <row r="41" spans="1:35" ht="15" customHeight="1">
      <c r="A41" s="251"/>
      <c r="B41" s="2" t="s">
        <v>241</v>
      </c>
      <c r="C41" s="251"/>
      <c r="D41" s="377"/>
      <c r="E41" s="378"/>
      <c r="F41" s="251"/>
      <c r="G41" s="277"/>
      <c r="H41" s="257"/>
      <c r="I41" s="257"/>
      <c r="J41" s="379"/>
      <c r="K41" s="257"/>
      <c r="L41" s="335"/>
      <c r="M41" s="251"/>
      <c r="N41" s="344">
        <v>50</v>
      </c>
      <c r="O41" s="345">
        <v>0.9878797399999999</v>
      </c>
      <c r="P41" s="346">
        <v>0.26840000000000003</v>
      </c>
      <c r="Q41" s="347">
        <v>36.69</v>
      </c>
      <c r="R41" s="348">
        <f t="shared" si="0"/>
        <v>101.22689630217542</v>
      </c>
      <c r="S41" s="349">
        <f t="shared" si="1"/>
        <v>0.26602976853258314</v>
      </c>
      <c r="T41" s="251"/>
      <c r="U41" s="380" t="s">
        <v>335</v>
      </c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</row>
    <row r="42" spans="1:35" ht="15" customHeight="1">
      <c r="A42" s="251"/>
      <c r="B42" s="251"/>
      <c r="C42" s="251"/>
      <c r="D42" s="381"/>
      <c r="E42" s="382"/>
      <c r="F42" s="251"/>
      <c r="G42" s="277"/>
      <c r="H42" s="328"/>
      <c r="I42" s="257"/>
      <c r="J42" s="383"/>
      <c r="K42" s="259"/>
      <c r="L42" s="384"/>
      <c r="M42" s="385"/>
      <c r="N42" s="351">
        <v>55</v>
      </c>
      <c r="O42" s="352">
        <f>+O41-0.00297833</f>
        <v>0.98490140999999987</v>
      </c>
      <c r="P42" s="349">
        <v>0.26939999999999997</v>
      </c>
      <c r="Q42" s="353">
        <v>36.869999999999997</v>
      </c>
      <c r="R42" s="348">
        <f t="shared" si="0"/>
        <v>101.53300521724303</v>
      </c>
      <c r="S42" s="349">
        <f t="shared" si="1"/>
        <v>0.2663959495830841</v>
      </c>
      <c r="T42" s="251"/>
      <c r="U42" s="380" t="s">
        <v>336</v>
      </c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</row>
    <row r="43" spans="1:35" ht="15" customHeight="1">
      <c r="A43" s="251"/>
      <c r="B43" s="2" t="s">
        <v>257</v>
      </c>
      <c r="C43" s="251"/>
      <c r="D43" s="251"/>
      <c r="E43" s="251"/>
      <c r="F43" s="251"/>
      <c r="G43" s="277"/>
      <c r="H43" s="328"/>
      <c r="I43" s="257"/>
      <c r="J43" s="383"/>
      <c r="K43" s="386"/>
      <c r="L43" s="387"/>
      <c r="M43" s="342"/>
      <c r="N43" s="344">
        <v>60</v>
      </c>
      <c r="O43" s="345">
        <v>0.98329599999999995</v>
      </c>
      <c r="P43" s="346">
        <v>0.27029999999999998</v>
      </c>
      <c r="Q43" s="347">
        <v>37.04</v>
      </c>
      <c r="R43" s="348">
        <f t="shared" si="0"/>
        <v>101.69877636032284</v>
      </c>
      <c r="S43" s="349">
        <f t="shared" si="1"/>
        <v>0.26697655098097628</v>
      </c>
      <c r="T43" s="251"/>
      <c r="U43" s="380" t="s">
        <v>337</v>
      </c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</row>
    <row r="44" spans="1:35" ht="15" customHeight="1">
      <c r="A44" s="251"/>
      <c r="B44" s="251"/>
      <c r="C44" s="251"/>
      <c r="D44" s="251"/>
      <c r="E44" s="251"/>
      <c r="F44" s="388"/>
      <c r="G44" s="277"/>
      <c r="H44" s="328"/>
      <c r="I44" s="257"/>
      <c r="J44" s="389"/>
      <c r="K44" s="386"/>
      <c r="L44" s="387"/>
      <c r="M44" s="342"/>
      <c r="N44" s="351">
        <v>65</v>
      </c>
      <c r="O44" s="352">
        <v>0.98050949999999992</v>
      </c>
      <c r="P44" s="390">
        <v>0.27150000000000002</v>
      </c>
      <c r="Q44" s="353">
        <v>37.25</v>
      </c>
      <c r="R44" s="348">
        <f t="shared" si="0"/>
        <v>101.98779308104614</v>
      </c>
      <c r="S44" s="349">
        <f t="shared" si="1"/>
        <v>0.2675279403367008</v>
      </c>
      <c r="T44" s="251"/>
      <c r="U44" s="39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</row>
    <row r="45" spans="1:35" ht="15" customHeight="1">
      <c r="A45" s="251"/>
      <c r="B45" s="392" t="s">
        <v>393</v>
      </c>
      <c r="C45" s="361"/>
      <c r="D45" s="361"/>
      <c r="E45" s="361"/>
      <c r="F45" s="361" t="s">
        <v>394</v>
      </c>
      <c r="G45" s="361"/>
      <c r="H45" s="393"/>
      <c r="I45" s="257"/>
      <c r="J45" s="383"/>
      <c r="K45" s="386"/>
      <c r="L45" s="387"/>
      <c r="M45" s="342"/>
      <c r="N45" s="344">
        <v>70</v>
      </c>
      <c r="O45" s="345">
        <v>0.9777229999999999</v>
      </c>
      <c r="P45" s="394">
        <v>0.27260000000000001</v>
      </c>
      <c r="Q45" s="347">
        <v>37.46</v>
      </c>
      <c r="R45" s="348">
        <f t="shared" si="0"/>
        <v>102.27845719084036</v>
      </c>
      <c r="S45" s="349">
        <f t="shared" si="1"/>
        <v>0.26807223117427864</v>
      </c>
      <c r="T45" s="251"/>
      <c r="U45" s="251"/>
      <c r="V45" s="251"/>
      <c r="W45" s="251"/>
      <c r="X45" s="251"/>
      <c r="Y45" s="251"/>
      <c r="Z45" s="251"/>
      <c r="AA45" s="251"/>
      <c r="AB45" s="454" t="s">
        <v>342</v>
      </c>
      <c r="AC45" s="454"/>
      <c r="AD45" s="454"/>
      <c r="AE45" s="369"/>
      <c r="AF45" s="369"/>
      <c r="AG45" s="251"/>
      <c r="AH45" s="251"/>
      <c r="AI45" s="251"/>
    </row>
    <row r="46" spans="1:35" ht="15" customHeight="1">
      <c r="A46" s="251"/>
      <c r="B46" s="251"/>
      <c r="C46" s="251"/>
      <c r="D46" s="251"/>
      <c r="E46" s="251"/>
      <c r="F46" s="251"/>
      <c r="G46" s="277"/>
      <c r="H46" s="328"/>
      <c r="I46" s="257"/>
      <c r="J46" s="383"/>
      <c r="K46" s="386"/>
      <c r="L46" s="387"/>
      <c r="M46" s="342"/>
      <c r="N46" s="351">
        <v>75</v>
      </c>
      <c r="O46" s="352">
        <v>0.97493649999999987</v>
      </c>
      <c r="P46" s="390">
        <v>0.27379999999999999</v>
      </c>
      <c r="Q46" s="353">
        <v>37.700000000000003</v>
      </c>
      <c r="R46" s="348">
        <f t="shared" si="0"/>
        <v>102.57078281508592</v>
      </c>
      <c r="S46" s="349">
        <f t="shared" si="1"/>
        <v>0.26876587727965134</v>
      </c>
      <c r="T46" s="251"/>
      <c r="U46" s="374"/>
      <c r="V46" s="251"/>
      <c r="W46" s="251"/>
      <c r="X46" s="251"/>
      <c r="Y46" s="251"/>
      <c r="Z46" s="251"/>
      <c r="AA46" s="251"/>
      <c r="AB46" s="344" t="s">
        <v>332</v>
      </c>
      <c r="AC46" s="395">
        <f>D4</f>
        <v>247</v>
      </c>
      <c r="AD46" s="344"/>
      <c r="AE46" s="251"/>
      <c r="AF46" s="251"/>
      <c r="AG46" s="251"/>
      <c r="AH46" s="251"/>
      <c r="AI46" s="251"/>
    </row>
    <row r="47" spans="1:35" ht="15" customHeight="1">
      <c r="A47" s="251"/>
      <c r="B47" s="251"/>
      <c r="C47" s="251"/>
      <c r="D47" s="251"/>
      <c r="E47" s="251"/>
      <c r="F47" s="251" t="s">
        <v>395</v>
      </c>
      <c r="G47" s="277"/>
      <c r="H47" s="328"/>
      <c r="I47" s="257"/>
      <c r="J47" s="383"/>
      <c r="K47" s="386"/>
      <c r="L47" s="387"/>
      <c r="M47" s="342"/>
      <c r="N47" s="344">
        <v>80</v>
      </c>
      <c r="O47" s="345">
        <v>0.97214999999999996</v>
      </c>
      <c r="P47" s="346">
        <v>0.27500000000000002</v>
      </c>
      <c r="Q47" s="347">
        <v>37.93</v>
      </c>
      <c r="R47" s="348">
        <f t="shared" si="0"/>
        <v>102.86478424111506</v>
      </c>
      <c r="S47" s="349">
        <f t="shared" si="1"/>
        <v>0.26939918409934704</v>
      </c>
      <c r="T47" s="251"/>
      <c r="U47" s="251"/>
      <c r="V47" s="251"/>
      <c r="W47" s="251"/>
      <c r="X47" s="251"/>
      <c r="Y47" s="251"/>
      <c r="Z47" s="251"/>
      <c r="AA47" s="251"/>
      <c r="AB47" s="344" t="s">
        <v>343</v>
      </c>
      <c r="AC47" s="396">
        <f>C4</f>
        <v>1000</v>
      </c>
      <c r="AD47" s="344"/>
      <c r="AE47" s="251"/>
      <c r="AF47" s="251"/>
      <c r="AG47" s="251"/>
      <c r="AH47" s="251"/>
      <c r="AI47" s="251"/>
    </row>
    <row r="48" spans="1:35" ht="15" customHeight="1">
      <c r="A48" s="251"/>
      <c r="B48" s="251"/>
      <c r="C48" s="251"/>
      <c r="D48" s="251"/>
      <c r="E48" s="251"/>
      <c r="F48" s="251"/>
      <c r="G48" s="277"/>
      <c r="H48" s="328"/>
      <c r="I48" s="257"/>
      <c r="J48" s="383"/>
      <c r="K48" s="386"/>
      <c r="L48" s="387"/>
      <c r="M48" s="342"/>
      <c r="N48" s="351">
        <v>85</v>
      </c>
      <c r="O48" s="352">
        <v>0.96893825</v>
      </c>
      <c r="P48" s="390">
        <v>0.27639999999999998</v>
      </c>
      <c r="Q48" s="353">
        <v>38.200000000000003</v>
      </c>
      <c r="R48" s="348">
        <f t="shared" si="0"/>
        <v>103.20575124369381</v>
      </c>
      <c r="S48" s="349">
        <f t="shared" si="1"/>
        <v>0.27014459924029138</v>
      </c>
      <c r="T48" s="251"/>
      <c r="U48" s="251"/>
      <c r="V48" s="251"/>
      <c r="W48" s="251"/>
      <c r="X48" s="251"/>
      <c r="Y48" s="251"/>
      <c r="Z48" s="251"/>
      <c r="AA48" s="251"/>
      <c r="AB48" s="344" t="s">
        <v>344</v>
      </c>
      <c r="AC48" s="397">
        <f>(AC46/(AC46+AC47))*100%</f>
        <v>0.19807538091419408</v>
      </c>
      <c r="AD48" s="344" t="s">
        <v>345</v>
      </c>
      <c r="AE48" s="251"/>
      <c r="AF48" s="251"/>
      <c r="AG48" s="251"/>
      <c r="AH48" s="251"/>
      <c r="AI48" s="251"/>
    </row>
    <row r="49" spans="1:35" ht="15" customHeight="1">
      <c r="A49" s="251"/>
      <c r="B49" s="251"/>
      <c r="C49" s="251"/>
      <c r="D49" s="251"/>
      <c r="E49" s="251"/>
      <c r="F49" s="251" t="s">
        <v>396</v>
      </c>
      <c r="G49" s="277"/>
      <c r="H49" s="328"/>
      <c r="I49" s="257"/>
      <c r="J49" s="389"/>
      <c r="K49" s="386"/>
      <c r="L49" s="387"/>
      <c r="M49" s="342"/>
      <c r="N49" s="344">
        <v>90</v>
      </c>
      <c r="O49" s="345">
        <v>0.96572650000000004</v>
      </c>
      <c r="P49" s="394">
        <v>0.27779999999999999</v>
      </c>
      <c r="Q49" s="347">
        <v>38.47</v>
      </c>
      <c r="R49" s="348">
        <f t="shared" si="0"/>
        <v>103.54898617776358</v>
      </c>
      <c r="S49" s="349">
        <f t="shared" si="1"/>
        <v>0.27087927491502817</v>
      </c>
      <c r="T49" s="251"/>
      <c r="U49" s="251" t="s">
        <v>398</v>
      </c>
      <c r="V49" s="251"/>
      <c r="W49" s="251"/>
      <c r="X49" s="251"/>
      <c r="Y49" s="251"/>
      <c r="Z49" s="251"/>
      <c r="AA49" s="251"/>
      <c r="AB49" s="251"/>
      <c r="AC49" s="251"/>
      <c r="AD49" s="251"/>
      <c r="AE49" s="398" t="s">
        <v>399</v>
      </c>
      <c r="AF49" s="251"/>
      <c r="AG49" s="251"/>
      <c r="AH49" s="251"/>
      <c r="AI49" s="251"/>
    </row>
    <row r="50" spans="1:35" ht="15" customHeight="1">
      <c r="A50" s="277"/>
      <c r="B50" s="251"/>
      <c r="C50" s="251"/>
      <c r="D50" s="251"/>
      <c r="E50" s="251"/>
      <c r="F50" s="340" t="s">
        <v>397</v>
      </c>
      <c r="G50" s="251"/>
      <c r="H50" s="251"/>
      <c r="I50" s="251"/>
      <c r="J50" s="251"/>
      <c r="K50" s="251"/>
      <c r="L50" s="387"/>
      <c r="M50" s="342"/>
      <c r="N50" s="351">
        <v>95</v>
      </c>
      <c r="O50" s="352">
        <v>0.96251475000000009</v>
      </c>
      <c r="P50" s="390">
        <v>0.2792</v>
      </c>
      <c r="Q50" s="353">
        <v>38.729999999999997</v>
      </c>
      <c r="R50" s="348">
        <f t="shared" si="0"/>
        <v>103.89451174644336</v>
      </c>
      <c r="S50" s="349">
        <f t="shared" si="1"/>
        <v>0.27155220042999245</v>
      </c>
      <c r="T50" s="369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</row>
    <row r="51" spans="1:35" ht="15" customHeight="1">
      <c r="A51" s="277"/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387"/>
      <c r="M51" s="342"/>
      <c r="N51" s="344">
        <v>100</v>
      </c>
      <c r="O51" s="345">
        <v>0.95930300000000002</v>
      </c>
      <c r="P51" s="346">
        <v>0.28060000000000002</v>
      </c>
      <c r="Q51" s="347">
        <v>38.99</v>
      </c>
      <c r="R51" s="348">
        <f t="shared" si="0"/>
        <v>104.24235095689266</v>
      </c>
      <c r="S51" s="349">
        <f t="shared" si="1"/>
        <v>0.27221503898748728</v>
      </c>
      <c r="T51" s="399"/>
      <c r="U51" s="400" t="s">
        <v>339</v>
      </c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</row>
    <row r="52" spans="1:35" ht="15" customHeight="1">
      <c r="A52" s="401"/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387"/>
      <c r="M52" s="342"/>
      <c r="N52" s="402"/>
      <c r="O52" s="342"/>
      <c r="P52" s="251"/>
      <c r="Q52" s="403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</row>
    <row r="53" spans="1:35" ht="15" customHeight="1">
      <c r="A53" s="277"/>
      <c r="B53" s="277"/>
      <c r="C53" s="251"/>
      <c r="D53" s="251"/>
      <c r="E53" s="251"/>
      <c r="F53" s="251"/>
      <c r="G53" s="251"/>
      <c r="H53" s="251"/>
      <c r="I53" s="251"/>
      <c r="J53" s="251"/>
      <c r="K53" s="251"/>
      <c r="L53" s="404"/>
      <c r="M53" s="342"/>
      <c r="N53" s="402"/>
      <c r="O53" s="342"/>
      <c r="P53" s="251"/>
      <c r="Q53" s="405"/>
      <c r="R53" s="405"/>
      <c r="S53" s="405"/>
      <c r="T53" s="405"/>
      <c r="U53" s="380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</row>
    <row r="54" spans="1:35" ht="15" customHeight="1">
      <c r="A54" s="406"/>
      <c r="B54" s="251"/>
      <c r="C54" s="407"/>
      <c r="D54" s="407"/>
      <c r="E54" s="407"/>
      <c r="F54" s="407"/>
      <c r="G54" s="407"/>
      <c r="H54" s="407"/>
      <c r="I54" s="407"/>
      <c r="J54" s="407"/>
      <c r="K54" s="407"/>
      <c r="L54" s="387"/>
      <c r="M54" s="342"/>
      <c r="N54" s="402"/>
      <c r="O54" s="342"/>
      <c r="P54" s="251"/>
      <c r="Q54" s="251"/>
      <c r="R54" s="332"/>
      <c r="S54" s="332"/>
      <c r="T54" s="251"/>
      <c r="U54" s="380"/>
      <c r="V54" s="251"/>
      <c r="W54" s="251"/>
      <c r="X54" s="39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</row>
    <row r="55" spans="1:35" ht="15" customHeight="1">
      <c r="A55" s="277"/>
      <c r="B55" s="251"/>
      <c r="C55" s="251"/>
      <c r="D55" s="251"/>
      <c r="E55" s="408"/>
      <c r="F55" s="369"/>
      <c r="G55" s="257"/>
      <c r="H55" s="257"/>
      <c r="I55" s="257"/>
      <c r="J55" s="257"/>
      <c r="K55" s="257"/>
      <c r="L55" s="387"/>
      <c r="M55" s="342"/>
      <c r="N55" s="402"/>
      <c r="O55" s="342"/>
      <c r="P55" s="251"/>
      <c r="Q55" s="332"/>
      <c r="R55" s="421"/>
      <c r="S55" s="421"/>
      <c r="T55" s="332"/>
      <c r="U55" s="380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</row>
    <row r="56" spans="1:35" ht="21" customHeight="1">
      <c r="A56" s="277"/>
      <c r="B56" s="424" t="s">
        <v>400</v>
      </c>
      <c r="C56" s="424"/>
      <c r="D56" s="424"/>
      <c r="E56" s="424"/>
      <c r="F56" s="424"/>
      <c r="G56" s="424"/>
      <c r="H56" s="424"/>
      <c r="I56" s="424"/>
      <c r="J56" s="424"/>
      <c r="K56" s="424"/>
      <c r="L56" s="424"/>
      <c r="M56" s="342"/>
      <c r="N56" s="402"/>
      <c r="O56" s="342"/>
      <c r="P56" s="251"/>
      <c r="Q56" s="409"/>
      <c r="R56" s="421"/>
      <c r="S56" s="421"/>
      <c r="T56" s="409"/>
      <c r="U56" s="380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</row>
    <row r="57" spans="1:35" ht="15" customHeight="1">
      <c r="A57" s="277"/>
      <c r="B57" s="251"/>
      <c r="C57" s="410"/>
      <c r="D57" s="251"/>
      <c r="E57" s="251"/>
      <c r="F57" s="251"/>
      <c r="G57" s="277"/>
      <c r="H57" s="328"/>
      <c r="I57" s="257"/>
      <c r="J57" s="383"/>
      <c r="K57" s="386"/>
      <c r="L57" s="387"/>
      <c r="M57" s="342"/>
      <c r="N57" s="402"/>
      <c r="O57" s="342"/>
      <c r="P57" s="251"/>
      <c r="Q57" s="421"/>
      <c r="R57" s="421"/>
      <c r="S57" s="421"/>
      <c r="T57" s="421"/>
      <c r="U57" s="41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</row>
    <row r="58" spans="1:35" ht="15" customHeight="1">
      <c r="A58" s="251"/>
      <c r="B58" s="251"/>
      <c r="C58" s="410"/>
      <c r="D58" s="251"/>
      <c r="E58" s="251"/>
      <c r="F58" s="251"/>
      <c r="G58" s="277"/>
      <c r="H58" s="328"/>
      <c r="I58" s="257"/>
      <c r="J58" s="383"/>
      <c r="K58" s="386"/>
      <c r="L58" s="387"/>
      <c r="M58" s="342"/>
      <c r="N58" s="402"/>
      <c r="O58" s="342"/>
      <c r="P58" s="251"/>
      <c r="Q58" s="420"/>
      <c r="R58" s="420"/>
      <c r="S58" s="420"/>
      <c r="T58" s="420"/>
      <c r="U58" s="411"/>
      <c r="V58" s="251"/>
      <c r="W58" s="251"/>
      <c r="X58" s="250"/>
      <c r="Y58" s="412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</row>
    <row r="59" spans="1:35" ht="15" customHeight="1">
      <c r="A59" s="251"/>
      <c r="B59" s="251"/>
      <c r="C59" s="410"/>
      <c r="D59" s="251"/>
      <c r="E59" s="251"/>
      <c r="F59" s="251"/>
      <c r="G59" s="277"/>
      <c r="H59" s="328"/>
      <c r="I59" s="257"/>
      <c r="J59" s="383"/>
      <c r="K59" s="386"/>
      <c r="L59" s="387"/>
      <c r="M59" s="342"/>
      <c r="N59" s="402"/>
      <c r="O59" s="342"/>
      <c r="P59" s="251"/>
      <c r="Q59" s="332"/>
      <c r="R59" s="421"/>
      <c r="S59" s="421"/>
      <c r="T59" s="332"/>
      <c r="U59" s="251"/>
      <c r="V59" s="251"/>
      <c r="W59" s="251"/>
      <c r="X59" s="413"/>
      <c r="Y59" s="412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</row>
    <row r="61" spans="1:35" ht="18.75">
      <c r="B61" s="414" t="s">
        <v>401</v>
      </c>
      <c r="H61" s="414" t="s">
        <v>405</v>
      </c>
    </row>
    <row r="62" spans="1:35" ht="18.75">
      <c r="B62" s="414" t="s">
        <v>402</v>
      </c>
      <c r="H62" s="414" t="s">
        <v>406</v>
      </c>
    </row>
    <row r="63" spans="1:35" ht="18.75">
      <c r="B63" s="414" t="s">
        <v>403</v>
      </c>
      <c r="H63" s="414" t="s">
        <v>407</v>
      </c>
    </row>
    <row r="64" spans="1:35" ht="18.75">
      <c r="B64" s="414" t="s">
        <v>404</v>
      </c>
      <c r="H64" s="414"/>
    </row>
    <row r="65" spans="2:8" ht="18.75">
      <c r="B65" s="414"/>
      <c r="H65" s="414"/>
    </row>
    <row r="66" spans="2:8" ht="18.75">
      <c r="B66" s="416" t="s">
        <v>409</v>
      </c>
      <c r="H66" s="414" t="s">
        <v>414</v>
      </c>
    </row>
    <row r="67" spans="2:8" ht="18.75">
      <c r="B67" s="416" t="s">
        <v>408</v>
      </c>
      <c r="H67" s="414" t="s">
        <v>415</v>
      </c>
    </row>
    <row r="68" spans="2:8" ht="18.75">
      <c r="B68" s="416" t="s">
        <v>410</v>
      </c>
      <c r="H68" s="414" t="s">
        <v>416</v>
      </c>
    </row>
    <row r="69" spans="2:8" ht="18.75">
      <c r="B69" s="416" t="s">
        <v>411</v>
      </c>
      <c r="H69" s="414" t="s">
        <v>417</v>
      </c>
    </row>
    <row r="70" spans="2:8" ht="18.75">
      <c r="B70" s="416" t="s">
        <v>413</v>
      </c>
      <c r="H70" s="414" t="s">
        <v>418</v>
      </c>
    </row>
    <row r="71" spans="2:8" ht="18.75">
      <c r="B71" s="416" t="s">
        <v>412</v>
      </c>
      <c r="H71" s="414" t="s">
        <v>419</v>
      </c>
    </row>
    <row r="72" spans="2:8" ht="18.75">
      <c r="H72" s="414"/>
    </row>
  </sheetData>
  <sheetProtection password="D9AA" sheet="1" objects="1" scenarios="1"/>
  <mergeCells count="39">
    <mergeCell ref="AB45:AD45"/>
    <mergeCell ref="X36:Y36"/>
    <mergeCell ref="N28:S28"/>
    <mergeCell ref="Z32:AA32"/>
    <mergeCell ref="B12:D13"/>
    <mergeCell ref="G17:H17"/>
    <mergeCell ref="G18:H18"/>
    <mergeCell ref="G19:H19"/>
    <mergeCell ref="G20:H20"/>
    <mergeCell ref="G21:H21"/>
    <mergeCell ref="G22:H23"/>
    <mergeCell ref="I22:I23"/>
    <mergeCell ref="D24:E24"/>
    <mergeCell ref="N29:S29"/>
    <mergeCell ref="F25:J25"/>
    <mergeCell ref="D25:E25"/>
    <mergeCell ref="A1:K1"/>
    <mergeCell ref="G13:I13"/>
    <mergeCell ref="G14:I14"/>
    <mergeCell ref="G15:I15"/>
    <mergeCell ref="G16:H16"/>
    <mergeCell ref="C3:D3"/>
    <mergeCell ref="C5:D5"/>
    <mergeCell ref="B5:B6"/>
    <mergeCell ref="B8:B11"/>
    <mergeCell ref="C8:D11"/>
    <mergeCell ref="B14:D15"/>
    <mergeCell ref="J11:K11"/>
    <mergeCell ref="A2:A15"/>
    <mergeCell ref="D27:E27"/>
    <mergeCell ref="D26:E26"/>
    <mergeCell ref="Q58:T58"/>
    <mergeCell ref="R59:S59"/>
    <mergeCell ref="R56:S56"/>
    <mergeCell ref="Q57:T57"/>
    <mergeCell ref="R55:S55"/>
    <mergeCell ref="J27:K27"/>
    <mergeCell ref="B56:L56"/>
    <mergeCell ref="R30:S30"/>
  </mergeCells>
  <phoneticPr fontId="3" type="noConversion"/>
  <dataValidations count="1">
    <dataValidation type="list" allowBlank="1" showInputMessage="1" showErrorMessage="1" errorTitle="Temperature" error="You have chosen a wrong water temperature" promptTitle="Temperature" prompt="Select a water temperature" sqref="B4">
      <formula1>$N$31:$N$51</formula1>
    </dataValidation>
  </dataValidations>
  <hyperlinks>
    <hyperlink ref="N1" r:id="rId1" display="http://www.formel.dk/kemi/tabeller/saltes%20oploeselighed.htm "/>
    <hyperlink ref="Z2" r:id="rId2"/>
    <hyperlink ref="B41" r:id="rId3"/>
    <hyperlink ref="B43" r:id="rId4" display="https://www.raeucherwiki.de/wie-errechne-ich-die-salzmenge-fuer-poekellake/"/>
    <hyperlink ref="B39" r:id="rId5"/>
    <hyperlink ref="D25" r:id="rId6"/>
    <hyperlink ref="U28" r:id="rId7"/>
    <hyperlink ref="U51" r:id="rId8"/>
    <hyperlink ref="N28" r:id="rId9" location="S "/>
    <hyperlink ref="B45" r:id="rId10"/>
    <hyperlink ref="AE49" r:id="rId11"/>
  </hyperlinks>
  <printOptions horizontalCentered="1" verticalCentered="1"/>
  <pageMargins left="0.74803149606299213" right="0" top="0" bottom="0" header="0" footer="0"/>
  <pageSetup scale="57" orientation="landscape" horizontalDpi="300" verticalDpi="300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1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5"/>
  <cols>
    <col min="1" max="2" width="16.7109375" style="3" customWidth="1"/>
    <col min="3" max="3" width="16.7109375" style="4" customWidth="1"/>
    <col min="4" max="7" width="16.7109375" style="3" customWidth="1"/>
    <col min="8" max="16384" width="9.140625" style="3"/>
  </cols>
  <sheetData>
    <row r="1" spans="1:26" ht="30" customHeight="1">
      <c r="A1" s="5"/>
      <c r="B1" s="466" t="s">
        <v>312</v>
      </c>
      <c r="C1" s="467"/>
      <c r="D1" s="467"/>
      <c r="E1" s="467"/>
      <c r="F1" s="467"/>
      <c r="G1" s="468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customHeight="1">
      <c r="A2" s="5"/>
      <c r="B2" s="469"/>
      <c r="C2" s="470"/>
      <c r="D2" s="470"/>
      <c r="E2" s="470"/>
      <c r="F2" s="470"/>
      <c r="G2" s="471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" customHeight="1">
      <c r="A3" s="5"/>
      <c r="B3" s="70">
        <v>1</v>
      </c>
      <c r="C3" s="63">
        <v>2</v>
      </c>
      <c r="D3" s="63">
        <v>3</v>
      </c>
      <c r="E3" s="63">
        <v>4</v>
      </c>
      <c r="F3" s="63">
        <v>5</v>
      </c>
      <c r="G3" s="71">
        <v>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57" customHeight="1" thickBot="1">
      <c r="A4" s="65">
        <f>+Salt!H11</f>
        <v>15</v>
      </c>
      <c r="B4" s="13" t="s">
        <v>26</v>
      </c>
      <c r="C4" s="14" t="s">
        <v>25</v>
      </c>
      <c r="D4" s="14" t="s">
        <v>37</v>
      </c>
      <c r="E4" s="14" t="s">
        <v>17</v>
      </c>
      <c r="F4" s="14" t="s">
        <v>27</v>
      </c>
      <c r="G4" s="15" t="s">
        <v>20</v>
      </c>
      <c r="H4" s="5"/>
      <c r="I4" s="506" t="s">
        <v>28</v>
      </c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"/>
      <c r="U4" s="5"/>
      <c r="V4" s="5"/>
      <c r="W4" s="5"/>
      <c r="X4" s="5"/>
      <c r="Y4" s="5"/>
      <c r="Z4" s="5"/>
    </row>
    <row r="5" spans="1:26" ht="18" customHeight="1">
      <c r="A5" s="64">
        <f>VLOOKUP($A$4,$B$5:$G$60,1)</f>
        <v>14.8</v>
      </c>
      <c r="B5" s="16">
        <v>0</v>
      </c>
      <c r="C5" s="17">
        <v>0</v>
      </c>
      <c r="D5" s="17">
        <v>0</v>
      </c>
      <c r="E5" s="17">
        <v>0</v>
      </c>
      <c r="F5" s="18">
        <v>1</v>
      </c>
      <c r="G5" s="19">
        <v>0</v>
      </c>
      <c r="H5" s="5"/>
      <c r="I5" s="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 thickBot="1">
      <c r="A6" s="64">
        <f>VLOOKUP($A$4,$B$5:$G$60,2)</f>
        <v>58</v>
      </c>
      <c r="B6" s="95">
        <v>0.06</v>
      </c>
      <c r="C6" s="34">
        <v>2</v>
      </c>
      <c r="D6" s="35">
        <v>0.52800000000000002</v>
      </c>
      <c r="E6" s="36">
        <v>5.3</v>
      </c>
      <c r="F6" s="35">
        <v>1.004</v>
      </c>
      <c r="G6" s="96">
        <v>-0.2</v>
      </c>
      <c r="H6" s="5"/>
      <c r="I6" s="8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>
      <c r="A7" s="64">
        <f>VLOOKUP($A$4,$B$5:$G$60,3)</f>
        <v>15.308999999999999</v>
      </c>
      <c r="B7" s="90">
        <v>1.1000000000000001</v>
      </c>
      <c r="C7" s="91">
        <v>4</v>
      </c>
      <c r="D7" s="92">
        <v>1.056</v>
      </c>
      <c r="E7" s="93">
        <v>10.7</v>
      </c>
      <c r="F7" s="92">
        <v>1.0069999999999999</v>
      </c>
      <c r="G7" s="94">
        <v>-0.5</v>
      </c>
      <c r="H7" s="497" t="s">
        <v>42</v>
      </c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9"/>
      <c r="T7" s="5"/>
      <c r="U7" s="5"/>
      <c r="V7" s="5"/>
      <c r="W7" s="5"/>
      <c r="X7" s="5"/>
      <c r="Y7" s="5"/>
      <c r="Z7" s="5"/>
    </row>
    <row r="8" spans="1:26" ht="18" customHeight="1">
      <c r="A8" s="64">
        <f>VLOOKUP($A$4,$B$5:$G$60,4)</f>
        <v>180.2</v>
      </c>
      <c r="B8" s="80">
        <v>1.6</v>
      </c>
      <c r="C8" s="81">
        <v>6</v>
      </c>
      <c r="D8" s="82">
        <v>1.5860000000000001</v>
      </c>
      <c r="E8" s="83">
        <v>16.100000000000001</v>
      </c>
      <c r="F8" s="82">
        <v>1.0109999999999999</v>
      </c>
      <c r="G8" s="84">
        <v>-0.8</v>
      </c>
      <c r="H8" s="500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2"/>
      <c r="T8" s="5"/>
      <c r="U8" s="5"/>
      <c r="V8" s="5"/>
      <c r="W8" s="5"/>
      <c r="X8" s="5"/>
      <c r="Y8" s="5"/>
      <c r="Z8" s="5"/>
    </row>
    <row r="9" spans="1:26" ht="18" customHeight="1">
      <c r="A9" s="197">
        <f>VLOOKUP($A$4,$B$5:$G$60,5)</f>
        <v>1.1140000000000001</v>
      </c>
      <c r="B9" s="80">
        <v>2.1</v>
      </c>
      <c r="C9" s="81">
        <v>8</v>
      </c>
      <c r="D9" s="82">
        <v>2.1120000000000001</v>
      </c>
      <c r="E9" s="83">
        <v>21.5</v>
      </c>
      <c r="F9" s="82">
        <v>1.0149999999999999</v>
      </c>
      <c r="G9" s="84">
        <v>-1.1000000000000001</v>
      </c>
      <c r="H9" s="500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2"/>
      <c r="T9" s="5"/>
      <c r="U9" s="5"/>
      <c r="V9" s="5"/>
      <c r="W9" s="5"/>
      <c r="X9" s="5"/>
      <c r="Y9" s="5"/>
      <c r="Z9" s="5"/>
    </row>
    <row r="10" spans="1:26" ht="18" customHeight="1">
      <c r="A10" s="64">
        <f>VLOOKUP($A$4,$B$5:$G$60,6)</f>
        <v>-11.2</v>
      </c>
      <c r="B10" s="102">
        <v>2.7</v>
      </c>
      <c r="C10" s="103">
        <v>10</v>
      </c>
      <c r="D10" s="104">
        <v>2.64</v>
      </c>
      <c r="E10" s="105">
        <v>27</v>
      </c>
      <c r="F10" s="104">
        <v>1.0189999999999999</v>
      </c>
      <c r="G10" s="106">
        <v>-1.5</v>
      </c>
      <c r="H10" s="500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2"/>
      <c r="T10" s="5"/>
      <c r="U10" s="5"/>
      <c r="V10" s="5"/>
      <c r="W10" s="5"/>
      <c r="X10" s="5"/>
      <c r="Y10" s="5"/>
      <c r="Z10" s="5"/>
    </row>
    <row r="11" spans="1:26" ht="18" customHeight="1" thickBot="1">
      <c r="A11" s="5"/>
      <c r="B11" s="85">
        <v>3.3</v>
      </c>
      <c r="C11" s="86">
        <v>12</v>
      </c>
      <c r="D11" s="87">
        <v>3.1669999999999998</v>
      </c>
      <c r="E11" s="88">
        <v>32.700000000000003</v>
      </c>
      <c r="F11" s="87">
        <v>1.0229999999999999</v>
      </c>
      <c r="G11" s="89">
        <v>-1.8</v>
      </c>
      <c r="H11" s="503"/>
      <c r="I11" s="504"/>
      <c r="J11" s="504"/>
      <c r="K11" s="504"/>
      <c r="L11" s="504"/>
      <c r="M11" s="504"/>
      <c r="N11" s="504"/>
      <c r="O11" s="504"/>
      <c r="P11" s="504"/>
      <c r="Q11" s="504"/>
      <c r="R11" s="504"/>
      <c r="S11" s="505"/>
      <c r="T11" s="5"/>
      <c r="U11" s="5"/>
      <c r="V11" s="5"/>
      <c r="W11" s="5"/>
      <c r="X11" s="5"/>
      <c r="Y11" s="5"/>
      <c r="Z11" s="5"/>
    </row>
    <row r="12" spans="1:26" ht="18" customHeight="1">
      <c r="A12" s="107" t="s">
        <v>21</v>
      </c>
      <c r="B12" s="97">
        <v>3.7</v>
      </c>
      <c r="C12" s="98">
        <v>14</v>
      </c>
      <c r="D12" s="99">
        <v>3.6949999999999998</v>
      </c>
      <c r="E12" s="100">
        <v>38.299999999999997</v>
      </c>
      <c r="F12" s="99">
        <v>1.026</v>
      </c>
      <c r="G12" s="101">
        <v>-2.1</v>
      </c>
      <c r="H12" s="10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" customHeight="1">
      <c r="A13" s="5"/>
      <c r="B13" s="23">
        <v>4.2</v>
      </c>
      <c r="C13" s="20">
        <v>16</v>
      </c>
      <c r="D13" s="21">
        <v>4.2229999999999999</v>
      </c>
      <c r="E13" s="22">
        <v>43.9</v>
      </c>
      <c r="F13" s="21">
        <v>1.03</v>
      </c>
      <c r="G13" s="24">
        <v>-2.4</v>
      </c>
      <c r="H13" s="5"/>
      <c r="I13" s="5" t="s">
        <v>43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" customHeight="1" thickBot="1">
      <c r="A14" s="5"/>
      <c r="B14" s="25">
        <v>4.8</v>
      </c>
      <c r="C14" s="26">
        <v>18</v>
      </c>
      <c r="D14" s="27">
        <v>4.7510000000000003</v>
      </c>
      <c r="E14" s="28">
        <v>49.7</v>
      </c>
      <c r="F14" s="27">
        <v>1.034</v>
      </c>
      <c r="G14" s="29">
        <v>-2.8</v>
      </c>
      <c r="H14" s="5"/>
      <c r="I14" s="77" t="s">
        <v>44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customHeight="1">
      <c r="A15" s="5"/>
      <c r="B15" s="30">
        <v>5.3</v>
      </c>
      <c r="C15" s="17">
        <v>20</v>
      </c>
      <c r="D15" s="18">
        <v>5.2789999999999999</v>
      </c>
      <c r="E15" s="31">
        <v>55.6</v>
      </c>
      <c r="F15" s="18">
        <v>1.038</v>
      </c>
      <c r="G15" s="32">
        <v>-3.1</v>
      </c>
      <c r="H15" s="5"/>
      <c r="I15" s="7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>
      <c r="A16" s="5"/>
      <c r="B16" s="23">
        <v>5.8</v>
      </c>
      <c r="C16" s="20">
        <v>22</v>
      </c>
      <c r="D16" s="21">
        <v>5.8070000000000004</v>
      </c>
      <c r="E16" s="22">
        <v>61.3</v>
      </c>
      <c r="F16" s="21">
        <v>1.042</v>
      </c>
      <c r="G16" s="24">
        <v>-3.5</v>
      </c>
      <c r="H16" s="5"/>
      <c r="I16" s="77" t="s">
        <v>45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" customHeight="1">
      <c r="A17" s="5"/>
      <c r="B17" s="23">
        <v>6.4</v>
      </c>
      <c r="C17" s="20">
        <v>24</v>
      </c>
      <c r="D17" s="21">
        <v>6.335</v>
      </c>
      <c r="E17" s="22">
        <v>67.400000000000006</v>
      </c>
      <c r="F17" s="21">
        <v>1.046</v>
      </c>
      <c r="G17" s="24">
        <v>-3.8</v>
      </c>
      <c r="H17" s="5"/>
      <c r="I17" s="77" t="s">
        <v>46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" customHeight="1">
      <c r="A18" s="5"/>
      <c r="B18" s="23">
        <v>6.9</v>
      </c>
      <c r="C18" s="20">
        <v>26</v>
      </c>
      <c r="D18" s="21">
        <v>6.8630000000000004</v>
      </c>
      <c r="E18" s="22">
        <v>73.5</v>
      </c>
      <c r="F18" s="21">
        <v>1.05</v>
      </c>
      <c r="G18" s="24">
        <v>-4.2</v>
      </c>
      <c r="H18" s="5"/>
      <c r="I18" s="78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" customHeight="1" thickBot="1">
      <c r="A19" s="5"/>
      <c r="B19" s="25">
        <v>7.4</v>
      </c>
      <c r="C19" s="26">
        <v>28</v>
      </c>
      <c r="D19" s="27">
        <v>7.391</v>
      </c>
      <c r="E19" s="28">
        <v>79.599999999999994</v>
      </c>
      <c r="F19" s="27">
        <v>1.054</v>
      </c>
      <c r="G19" s="29">
        <v>-4.5999999999999996</v>
      </c>
      <c r="H19" s="5"/>
      <c r="I19" s="79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8" customHeight="1">
      <c r="A20" s="5"/>
      <c r="B20" s="30">
        <v>7.9</v>
      </c>
      <c r="C20" s="17">
        <v>30</v>
      </c>
      <c r="D20" s="18">
        <v>7.9189999999999996</v>
      </c>
      <c r="E20" s="31">
        <v>85.7</v>
      </c>
      <c r="F20" s="18">
        <v>1.0580000000000001</v>
      </c>
      <c r="G20" s="32">
        <v>-5</v>
      </c>
      <c r="H20" s="5"/>
      <c r="I20" s="79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" customHeight="1">
      <c r="A21" s="5"/>
      <c r="B21" s="23">
        <v>8.5</v>
      </c>
      <c r="C21" s="20">
        <v>32</v>
      </c>
      <c r="D21" s="21">
        <v>8.4459999999999997</v>
      </c>
      <c r="E21" s="22">
        <v>92</v>
      </c>
      <c r="F21" s="21">
        <v>1.0620000000000001</v>
      </c>
      <c r="G21" s="24">
        <v>-5.4</v>
      </c>
      <c r="H21" s="5"/>
      <c r="I21" s="7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" customHeight="1">
      <c r="A22" s="5"/>
      <c r="B22" s="23">
        <v>9</v>
      </c>
      <c r="C22" s="20">
        <v>34</v>
      </c>
      <c r="D22" s="21">
        <v>8.9740000000000002</v>
      </c>
      <c r="E22" s="22">
        <v>98.3</v>
      </c>
      <c r="F22" s="21">
        <v>1.0660000000000001</v>
      </c>
      <c r="G22" s="24">
        <v>-5.8</v>
      </c>
      <c r="H22" s="5"/>
      <c r="I22" s="79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8" customHeight="1" thickBot="1">
      <c r="A23" s="5"/>
      <c r="B23" s="33">
        <v>9.5</v>
      </c>
      <c r="C23" s="34">
        <v>36</v>
      </c>
      <c r="D23" s="35">
        <v>9.5020000000000007</v>
      </c>
      <c r="E23" s="36">
        <v>104.8</v>
      </c>
      <c r="F23" s="35">
        <v>1.07</v>
      </c>
      <c r="G23" s="37">
        <v>-6.2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" customHeight="1">
      <c r="A24" s="5"/>
      <c r="B24" s="38">
        <v>10</v>
      </c>
      <c r="C24" s="39">
        <v>38</v>
      </c>
      <c r="D24" s="40">
        <v>10.029999999999999</v>
      </c>
      <c r="E24" s="41">
        <v>111.2</v>
      </c>
      <c r="F24" s="40">
        <v>1.0740000000000001</v>
      </c>
      <c r="G24" s="75">
        <v>-6.5</v>
      </c>
      <c r="H24" s="475" t="s">
        <v>34</v>
      </c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7"/>
      <c r="T24" s="5"/>
      <c r="U24" s="5"/>
      <c r="V24" s="5"/>
      <c r="W24" s="5"/>
      <c r="X24" s="5"/>
      <c r="Y24" s="5"/>
      <c r="Z24" s="5"/>
    </row>
    <row r="25" spans="1:26" ht="18" customHeight="1">
      <c r="A25" s="5"/>
      <c r="B25" s="66">
        <v>10.5</v>
      </c>
      <c r="C25" s="67">
        <v>40</v>
      </c>
      <c r="D25" s="68">
        <v>10.558</v>
      </c>
      <c r="E25" s="69">
        <v>117.7</v>
      </c>
      <c r="F25" s="68">
        <v>1.0780000000000001</v>
      </c>
      <c r="G25" s="72">
        <v>-7</v>
      </c>
      <c r="H25" s="478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80"/>
      <c r="T25" s="5"/>
      <c r="U25" s="5"/>
      <c r="V25" s="5"/>
      <c r="W25" s="5"/>
      <c r="X25" s="5"/>
      <c r="Y25" s="5"/>
      <c r="Z25" s="5"/>
    </row>
    <row r="26" spans="1:26" ht="18" customHeight="1">
      <c r="A26" s="5"/>
      <c r="B26" s="42">
        <v>11</v>
      </c>
      <c r="C26" s="43">
        <v>42</v>
      </c>
      <c r="D26" s="44">
        <v>11.086</v>
      </c>
      <c r="E26" s="45">
        <v>124.4</v>
      </c>
      <c r="F26" s="44">
        <v>1.0820000000000001</v>
      </c>
      <c r="G26" s="73">
        <v>-7.4</v>
      </c>
      <c r="H26" s="478"/>
      <c r="I26" s="479"/>
      <c r="J26" s="479"/>
      <c r="K26" s="479"/>
      <c r="L26" s="479"/>
      <c r="M26" s="479"/>
      <c r="N26" s="479"/>
      <c r="O26" s="479"/>
      <c r="P26" s="479"/>
      <c r="Q26" s="479"/>
      <c r="R26" s="479"/>
      <c r="S26" s="480"/>
      <c r="T26" s="5"/>
      <c r="U26" s="5"/>
      <c r="V26" s="5"/>
      <c r="W26" s="5"/>
      <c r="X26" s="5"/>
      <c r="Y26" s="5"/>
      <c r="Z26" s="5"/>
    </row>
    <row r="27" spans="1:26" ht="18" customHeight="1">
      <c r="A27" s="5"/>
      <c r="B27" s="42">
        <v>11.5</v>
      </c>
      <c r="C27" s="43">
        <v>44</v>
      </c>
      <c r="D27" s="44">
        <v>11.614000000000001</v>
      </c>
      <c r="E27" s="45">
        <v>131</v>
      </c>
      <c r="F27" s="44">
        <v>1.0860000000000001</v>
      </c>
      <c r="G27" s="73">
        <v>-7.8</v>
      </c>
      <c r="H27" s="478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80"/>
      <c r="T27" s="5"/>
      <c r="U27" s="5"/>
      <c r="V27" s="5"/>
      <c r="W27" s="5"/>
      <c r="X27" s="5"/>
      <c r="Y27" s="5"/>
      <c r="Z27" s="5"/>
    </row>
    <row r="28" spans="1:26" ht="18" customHeight="1">
      <c r="A28" s="5"/>
      <c r="B28" s="42">
        <v>12</v>
      </c>
      <c r="C28" s="43">
        <v>46</v>
      </c>
      <c r="D28" s="44">
        <v>12.141999999999999</v>
      </c>
      <c r="E28" s="45">
        <v>137.80000000000001</v>
      </c>
      <c r="F28" s="44">
        <v>1.0900000000000001</v>
      </c>
      <c r="G28" s="73">
        <v>-8.3000000000000007</v>
      </c>
      <c r="H28" s="478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480"/>
      <c r="T28" s="5"/>
      <c r="U28" s="5"/>
      <c r="V28" s="5"/>
      <c r="W28" s="5"/>
      <c r="X28" s="5"/>
      <c r="Y28" s="5"/>
      <c r="Z28" s="5"/>
    </row>
    <row r="29" spans="1:26" ht="18" customHeight="1">
      <c r="A29" s="5"/>
      <c r="B29" s="42">
        <v>12.5</v>
      </c>
      <c r="C29" s="43">
        <v>48</v>
      </c>
      <c r="D29" s="44">
        <v>12.67</v>
      </c>
      <c r="E29" s="45">
        <v>144.69999999999999</v>
      </c>
      <c r="F29" s="44">
        <v>1.0940000000000001</v>
      </c>
      <c r="G29" s="73">
        <v>-8.8000000000000007</v>
      </c>
      <c r="H29" s="478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80"/>
      <c r="T29" s="5"/>
      <c r="U29" s="5"/>
      <c r="V29" s="5"/>
      <c r="W29" s="5"/>
      <c r="X29" s="5"/>
      <c r="Y29" s="5"/>
      <c r="Z29" s="5"/>
    </row>
    <row r="30" spans="1:26" ht="18" customHeight="1">
      <c r="A30" s="5"/>
      <c r="B30" s="42">
        <v>13</v>
      </c>
      <c r="C30" s="43">
        <v>50</v>
      </c>
      <c r="D30" s="44">
        <v>13.198</v>
      </c>
      <c r="E30" s="45">
        <v>151.6</v>
      </c>
      <c r="F30" s="44">
        <v>1.0980000000000001</v>
      </c>
      <c r="G30" s="73">
        <v>-9.1999999999999993</v>
      </c>
      <c r="H30" s="478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80"/>
      <c r="T30" s="5"/>
      <c r="U30" s="5"/>
      <c r="V30" s="5"/>
      <c r="W30" s="5"/>
      <c r="X30" s="5"/>
      <c r="Y30" s="5"/>
      <c r="Z30" s="5"/>
    </row>
    <row r="31" spans="1:26" ht="18" customHeight="1">
      <c r="A31" s="5"/>
      <c r="B31" s="42">
        <v>13.5</v>
      </c>
      <c r="C31" s="43">
        <v>52</v>
      </c>
      <c r="D31" s="44">
        <v>13.725</v>
      </c>
      <c r="E31" s="45">
        <v>158.6</v>
      </c>
      <c r="F31" s="44">
        <v>1.1020000000000001</v>
      </c>
      <c r="G31" s="73">
        <v>-9.6999999999999993</v>
      </c>
      <c r="H31" s="478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80"/>
      <c r="T31" s="5"/>
      <c r="U31" s="5"/>
      <c r="V31" s="5"/>
      <c r="W31" s="5"/>
      <c r="X31" s="5"/>
      <c r="Y31" s="5"/>
      <c r="Z31" s="5"/>
    </row>
    <row r="32" spans="1:26" ht="18" customHeight="1">
      <c r="A32" s="5"/>
      <c r="B32" s="42">
        <v>14</v>
      </c>
      <c r="C32" s="43">
        <v>54</v>
      </c>
      <c r="D32" s="44">
        <v>14.253</v>
      </c>
      <c r="E32" s="45">
        <v>165.8</v>
      </c>
      <c r="F32" s="44">
        <v>1.1060000000000001</v>
      </c>
      <c r="G32" s="73">
        <v>-10.199999999999999</v>
      </c>
      <c r="H32" s="478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80"/>
      <c r="T32" s="5"/>
      <c r="U32" s="5"/>
      <c r="V32" s="5"/>
      <c r="W32" s="5"/>
      <c r="X32" s="5"/>
      <c r="Y32" s="5"/>
      <c r="Z32" s="5"/>
    </row>
    <row r="33" spans="1:26" ht="18" customHeight="1">
      <c r="A33" s="5"/>
      <c r="B33" s="42">
        <v>14.5</v>
      </c>
      <c r="C33" s="43">
        <v>56</v>
      </c>
      <c r="D33" s="44">
        <v>14.781000000000001</v>
      </c>
      <c r="E33" s="45">
        <v>172.9</v>
      </c>
      <c r="F33" s="44">
        <v>1.1100000000000001</v>
      </c>
      <c r="G33" s="73">
        <v>-10.7</v>
      </c>
      <c r="H33" s="478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80"/>
      <c r="T33" s="5"/>
      <c r="U33" s="5"/>
      <c r="V33" s="5"/>
      <c r="W33" s="5"/>
      <c r="X33" s="5"/>
      <c r="Y33" s="5"/>
      <c r="Z33" s="5"/>
    </row>
    <row r="34" spans="1:26" ht="18" customHeight="1">
      <c r="A34" s="5"/>
      <c r="B34" s="42">
        <v>14.8</v>
      </c>
      <c r="C34" s="43">
        <v>58</v>
      </c>
      <c r="D34" s="44">
        <v>15.308999999999999</v>
      </c>
      <c r="E34" s="45">
        <v>180.2</v>
      </c>
      <c r="F34" s="44">
        <v>1.1140000000000001</v>
      </c>
      <c r="G34" s="73">
        <v>-11.2</v>
      </c>
      <c r="H34" s="478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80"/>
      <c r="T34" s="5"/>
      <c r="U34" s="5"/>
      <c r="V34" s="5"/>
      <c r="W34" s="5"/>
      <c r="X34" s="5"/>
      <c r="Y34" s="5"/>
      <c r="Z34" s="5"/>
    </row>
    <row r="35" spans="1:26" ht="18" customHeight="1" thickBot="1">
      <c r="A35" s="5"/>
      <c r="B35" s="46">
        <v>15.3</v>
      </c>
      <c r="C35" s="47">
        <v>60</v>
      </c>
      <c r="D35" s="48">
        <v>15.837</v>
      </c>
      <c r="E35" s="49">
        <v>187.8</v>
      </c>
      <c r="F35" s="48">
        <v>1.1180000000000001</v>
      </c>
      <c r="G35" s="74">
        <v>-11.7</v>
      </c>
      <c r="H35" s="481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3"/>
      <c r="T35" s="5"/>
      <c r="U35" s="5"/>
      <c r="V35" s="5"/>
      <c r="W35" s="5"/>
      <c r="X35" s="5"/>
      <c r="Y35" s="5"/>
      <c r="Z35" s="5"/>
    </row>
    <row r="36" spans="1:26" ht="18" customHeight="1">
      <c r="A36" s="5"/>
      <c r="B36" s="50">
        <v>15.8</v>
      </c>
      <c r="C36" s="51">
        <v>62</v>
      </c>
      <c r="D36" s="52">
        <v>16.364999999999998</v>
      </c>
      <c r="E36" s="53">
        <v>195.1</v>
      </c>
      <c r="F36" s="52">
        <v>1.1220000000000001</v>
      </c>
      <c r="G36" s="54">
        <v>-12.3</v>
      </c>
      <c r="H36" s="9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8" customHeight="1">
      <c r="A37" s="5"/>
      <c r="B37" s="23">
        <v>16.2</v>
      </c>
      <c r="C37" s="20">
        <v>64</v>
      </c>
      <c r="D37" s="21">
        <v>16.893000000000001</v>
      </c>
      <c r="E37" s="22">
        <v>202.5</v>
      </c>
      <c r="F37" s="21">
        <v>1.1259999999999999</v>
      </c>
      <c r="G37" s="24">
        <v>-12.8</v>
      </c>
      <c r="H37" s="5"/>
      <c r="I37" s="8" t="s">
        <v>29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8" customHeight="1">
      <c r="A38" s="5"/>
      <c r="B38" s="23">
        <v>16.7</v>
      </c>
      <c r="C38" s="20">
        <v>66</v>
      </c>
      <c r="D38" s="21">
        <v>17.420999999999999</v>
      </c>
      <c r="E38" s="22">
        <v>210.2</v>
      </c>
      <c r="F38" s="21">
        <v>1.1299999999999999</v>
      </c>
      <c r="G38" s="24">
        <v>-13.4</v>
      </c>
      <c r="H38" s="5"/>
      <c r="I38" s="8" t="s">
        <v>30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8" customHeight="1" thickBot="1">
      <c r="A39" s="5"/>
      <c r="B39" s="25">
        <v>17.2</v>
      </c>
      <c r="C39" s="26">
        <v>68</v>
      </c>
      <c r="D39" s="27">
        <v>17.949000000000002</v>
      </c>
      <c r="E39" s="28">
        <v>218.1</v>
      </c>
      <c r="F39" s="27">
        <v>1.135</v>
      </c>
      <c r="G39" s="29">
        <v>-14</v>
      </c>
      <c r="H39" s="5"/>
      <c r="I39" s="8" t="s">
        <v>31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8" customHeight="1">
      <c r="A40" s="5"/>
      <c r="B40" s="30">
        <v>17.7</v>
      </c>
      <c r="C40" s="17">
        <v>70</v>
      </c>
      <c r="D40" s="18">
        <v>18.477</v>
      </c>
      <c r="E40" s="31">
        <v>226.1</v>
      </c>
      <c r="F40" s="18">
        <v>1.139</v>
      </c>
      <c r="G40" s="32">
        <v>-14.6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" customHeight="1">
      <c r="A41" s="5"/>
      <c r="B41" s="23">
        <v>18.100000000000001</v>
      </c>
      <c r="C41" s="20">
        <v>72</v>
      </c>
      <c r="D41" s="21">
        <v>19.004000000000001</v>
      </c>
      <c r="E41" s="22">
        <v>234</v>
      </c>
      <c r="F41" s="21">
        <v>1.143</v>
      </c>
      <c r="G41" s="24">
        <v>-15.2</v>
      </c>
      <c r="H41" s="5"/>
      <c r="I41" s="5" t="s">
        <v>32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" customHeight="1">
      <c r="A42" s="5"/>
      <c r="B42" s="23">
        <v>18.600000000000001</v>
      </c>
      <c r="C42" s="20">
        <v>74</v>
      </c>
      <c r="D42" s="21">
        <v>19.532</v>
      </c>
      <c r="E42" s="22">
        <v>242.1</v>
      </c>
      <c r="F42" s="21">
        <v>1.147</v>
      </c>
      <c r="G42" s="24">
        <v>-15.9</v>
      </c>
      <c r="H42" s="5"/>
      <c r="I42" s="5" t="s">
        <v>47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8" customHeight="1">
      <c r="A43" s="5"/>
      <c r="B43" s="23">
        <v>19.100000000000001</v>
      </c>
      <c r="C43" s="20">
        <v>76</v>
      </c>
      <c r="D43" s="21">
        <v>20.059999999999999</v>
      </c>
      <c r="E43" s="22">
        <v>250.3</v>
      </c>
      <c r="F43" s="21">
        <v>1.1519999999999999</v>
      </c>
      <c r="G43" s="24">
        <v>-16.5</v>
      </c>
      <c r="H43" s="5"/>
      <c r="I43" s="5" t="s">
        <v>48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8" customHeight="1" thickBot="1">
      <c r="A44" s="5"/>
      <c r="B44" s="25">
        <v>19.600000000000001</v>
      </c>
      <c r="C44" s="26">
        <v>78</v>
      </c>
      <c r="D44" s="27">
        <v>20.588000000000001</v>
      </c>
      <c r="E44" s="28">
        <v>258.5</v>
      </c>
      <c r="F44" s="27">
        <v>1.1559999999999999</v>
      </c>
      <c r="G44" s="29">
        <v>-17.2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8" customHeight="1">
      <c r="A45" s="5"/>
      <c r="B45" s="108">
        <v>20</v>
      </c>
      <c r="C45" s="109">
        <v>80</v>
      </c>
      <c r="D45" s="110">
        <v>21.116</v>
      </c>
      <c r="E45" s="111">
        <v>266.89999999999998</v>
      </c>
      <c r="F45" s="110">
        <v>1.1599999999999999</v>
      </c>
      <c r="G45" s="112">
        <v>-18</v>
      </c>
      <c r="H45" s="485" t="s">
        <v>49</v>
      </c>
      <c r="I45" s="486"/>
      <c r="J45" s="486"/>
      <c r="K45" s="486"/>
      <c r="L45" s="486"/>
      <c r="M45" s="486"/>
      <c r="N45" s="486"/>
      <c r="O45" s="486"/>
      <c r="P45" s="486"/>
      <c r="Q45" s="486"/>
      <c r="R45" s="486"/>
      <c r="S45" s="487"/>
      <c r="T45" s="5"/>
      <c r="U45" s="5"/>
      <c r="V45" s="5"/>
      <c r="W45" s="5"/>
      <c r="X45" s="5"/>
      <c r="Y45" s="5"/>
      <c r="Z45" s="5"/>
    </row>
    <row r="46" spans="1:26" ht="18" customHeight="1">
      <c r="A46" s="5"/>
      <c r="B46" s="113">
        <v>20.399999999999999</v>
      </c>
      <c r="C46" s="114">
        <v>82</v>
      </c>
      <c r="D46" s="115">
        <v>21.643999999999998</v>
      </c>
      <c r="E46" s="116">
        <v>275.39999999999998</v>
      </c>
      <c r="F46" s="115">
        <v>1.1639999999999999</v>
      </c>
      <c r="G46" s="117">
        <v>-18.600000000000001</v>
      </c>
      <c r="H46" s="488"/>
      <c r="I46" s="489"/>
      <c r="J46" s="489"/>
      <c r="K46" s="489"/>
      <c r="L46" s="489"/>
      <c r="M46" s="489"/>
      <c r="N46" s="489"/>
      <c r="O46" s="489"/>
      <c r="P46" s="489"/>
      <c r="Q46" s="489"/>
      <c r="R46" s="489"/>
      <c r="S46" s="490"/>
      <c r="T46" s="5"/>
      <c r="U46" s="5"/>
      <c r="V46" s="5"/>
      <c r="W46" s="5"/>
      <c r="X46" s="5"/>
      <c r="Y46" s="5"/>
      <c r="Z46" s="5"/>
    </row>
    <row r="47" spans="1:26" ht="18" customHeight="1" thickBot="1">
      <c r="A47" s="5"/>
      <c r="B47" s="118">
        <v>21</v>
      </c>
      <c r="C47" s="119">
        <v>84</v>
      </c>
      <c r="D47" s="120">
        <v>22.172000000000001</v>
      </c>
      <c r="E47" s="121">
        <v>284</v>
      </c>
      <c r="F47" s="120">
        <v>1.169</v>
      </c>
      <c r="G47" s="122">
        <v>-19.399999999999999</v>
      </c>
      <c r="H47" s="491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3"/>
      <c r="T47" s="5"/>
      <c r="U47" s="5"/>
      <c r="V47" s="5"/>
      <c r="W47" s="5"/>
      <c r="X47" s="5"/>
      <c r="Y47" s="5"/>
      <c r="Z47" s="5"/>
    </row>
    <row r="48" spans="1:26" ht="18" customHeight="1">
      <c r="A48" s="5"/>
      <c r="B48" s="50">
        <v>21.4</v>
      </c>
      <c r="C48" s="51">
        <v>86</v>
      </c>
      <c r="D48" s="52">
        <v>22.7</v>
      </c>
      <c r="E48" s="53">
        <v>292.8</v>
      </c>
      <c r="F48" s="52">
        <v>1.173</v>
      </c>
      <c r="G48" s="54">
        <v>-20.2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" customHeight="1">
      <c r="A49" s="5"/>
      <c r="B49" s="23">
        <v>21.9</v>
      </c>
      <c r="C49" s="20">
        <v>88</v>
      </c>
      <c r="D49" s="21">
        <v>23.23</v>
      </c>
      <c r="E49" s="22">
        <v>301.7</v>
      </c>
      <c r="F49" s="21">
        <v>1.1779999999999999</v>
      </c>
      <c r="G49" s="24">
        <v>-21</v>
      </c>
      <c r="H49" s="5"/>
      <c r="I49" s="5" t="s">
        <v>306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8" customHeight="1" thickBot="1">
      <c r="A50" s="198" t="s">
        <v>22</v>
      </c>
      <c r="B50" s="55">
        <v>22</v>
      </c>
      <c r="C50" s="56">
        <v>88.3</v>
      </c>
      <c r="D50" s="57">
        <v>23.31</v>
      </c>
      <c r="E50" s="56">
        <v>302</v>
      </c>
      <c r="F50" s="57">
        <v>1.179</v>
      </c>
      <c r="G50" s="76">
        <v>-21.12</v>
      </c>
      <c r="H50" s="10"/>
      <c r="I50" s="5" t="s">
        <v>307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8" customHeight="1">
      <c r="A51" s="5"/>
      <c r="B51" s="30">
        <v>22.3</v>
      </c>
      <c r="C51" s="17">
        <v>90</v>
      </c>
      <c r="D51" s="18">
        <v>23.754999999999999</v>
      </c>
      <c r="E51" s="31">
        <v>310.60000000000002</v>
      </c>
      <c r="F51" s="18">
        <v>1.1819999999999999</v>
      </c>
      <c r="G51" s="32"/>
      <c r="H51" s="5"/>
      <c r="I51" s="5" t="s">
        <v>308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8" customHeight="1">
      <c r="A52" s="5"/>
      <c r="B52" s="23">
        <v>22.7</v>
      </c>
      <c r="C52" s="20">
        <v>92</v>
      </c>
      <c r="D52" s="21">
        <v>24.283000000000001</v>
      </c>
      <c r="E52" s="22">
        <v>319.7</v>
      </c>
      <c r="F52" s="21">
        <v>1.1859999999999999</v>
      </c>
      <c r="G52" s="2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8" customHeight="1">
      <c r="A53" s="5"/>
      <c r="B53" s="23">
        <v>23.3</v>
      </c>
      <c r="C53" s="20">
        <v>94</v>
      </c>
      <c r="D53" s="21">
        <v>24.811</v>
      </c>
      <c r="E53" s="22">
        <v>328.7</v>
      </c>
      <c r="F53" s="21">
        <v>1.1910000000000001</v>
      </c>
      <c r="G53" s="24"/>
      <c r="H53" s="5"/>
      <c r="I53" s="5" t="s">
        <v>309</v>
      </c>
      <c r="J53" s="5"/>
      <c r="K53" s="5"/>
      <c r="L53" s="11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8" customHeight="1">
      <c r="A54" s="5"/>
      <c r="B54" s="23">
        <v>23.5</v>
      </c>
      <c r="C54" s="20">
        <v>95</v>
      </c>
      <c r="D54" s="21">
        <v>25.074999999999999</v>
      </c>
      <c r="E54" s="22">
        <v>333.7</v>
      </c>
      <c r="F54" s="21">
        <v>1.1930000000000001</v>
      </c>
      <c r="G54" s="24"/>
      <c r="H54" s="5"/>
      <c r="I54" s="5" t="s">
        <v>310</v>
      </c>
      <c r="J54" s="5"/>
      <c r="K54" s="5"/>
      <c r="L54" s="11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8" customHeight="1" thickBot="1">
      <c r="A55" s="5"/>
      <c r="B55" s="25">
        <v>23.7</v>
      </c>
      <c r="C55" s="26">
        <v>96</v>
      </c>
      <c r="D55" s="27">
        <v>25.338999999999999</v>
      </c>
      <c r="E55" s="28">
        <v>338.4</v>
      </c>
      <c r="F55" s="27">
        <v>1.1950000000000001</v>
      </c>
      <c r="G55" s="29"/>
      <c r="H55" s="5"/>
      <c r="I55" s="5" t="s">
        <v>311</v>
      </c>
      <c r="J55" s="5"/>
      <c r="K55" s="5"/>
      <c r="L55" s="1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8" customHeight="1">
      <c r="A56" s="5"/>
      <c r="B56" s="30">
        <v>23.9</v>
      </c>
      <c r="C56" s="17">
        <v>97</v>
      </c>
      <c r="D56" s="18">
        <v>25.603000000000002</v>
      </c>
      <c r="E56" s="31">
        <v>343</v>
      </c>
      <c r="F56" s="18">
        <v>1.1970000000000001</v>
      </c>
      <c r="G56" s="32"/>
      <c r="H56" s="5"/>
      <c r="I56" s="5"/>
      <c r="J56" s="5"/>
      <c r="K56" s="5"/>
      <c r="L56" s="1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8" customHeight="1">
      <c r="A57" s="5"/>
      <c r="B57" s="23">
        <v>24.2</v>
      </c>
      <c r="C57" s="20">
        <v>98</v>
      </c>
      <c r="D57" s="21">
        <v>25.867000000000001</v>
      </c>
      <c r="E57" s="22">
        <v>347.9</v>
      </c>
      <c r="F57" s="21">
        <v>1.2</v>
      </c>
      <c r="G57" s="24"/>
      <c r="H57" s="5"/>
      <c r="I57" s="11" t="s">
        <v>39</v>
      </c>
      <c r="J57" s="5"/>
      <c r="K57" s="5"/>
      <c r="L57" s="1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8" customHeight="1">
      <c r="A58" s="5"/>
      <c r="B58" s="23">
        <v>24.4</v>
      </c>
      <c r="C58" s="20">
        <v>99</v>
      </c>
      <c r="D58" s="21">
        <v>26.131</v>
      </c>
      <c r="E58" s="22">
        <v>352.8</v>
      </c>
      <c r="F58" s="21">
        <v>1.202</v>
      </c>
      <c r="G58" s="24"/>
      <c r="H58" s="5"/>
      <c r="I58" s="77" t="s">
        <v>300</v>
      </c>
      <c r="J58" s="5"/>
      <c r="K58" s="5"/>
      <c r="L58" s="1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8" customHeight="1">
      <c r="A59" s="5"/>
      <c r="B59" s="23">
        <v>24.5</v>
      </c>
      <c r="C59" s="22">
        <v>99.6</v>
      </c>
      <c r="D59" s="21">
        <v>26.29</v>
      </c>
      <c r="E59" s="22">
        <v>355.68</v>
      </c>
      <c r="F59" s="21">
        <v>1.2030000000000001</v>
      </c>
      <c r="G59" s="24"/>
      <c r="H59" s="5"/>
      <c r="I59" s="77" t="s">
        <v>301</v>
      </c>
      <c r="J59" s="5"/>
      <c r="K59" s="5"/>
      <c r="L59" s="1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8" customHeight="1" thickBot="1">
      <c r="A60" s="199" t="s">
        <v>23</v>
      </c>
      <c r="B60" s="58">
        <v>24.6</v>
      </c>
      <c r="C60" s="59">
        <v>100</v>
      </c>
      <c r="D60" s="60">
        <v>26.395</v>
      </c>
      <c r="E60" s="61">
        <v>357.6</v>
      </c>
      <c r="F60" s="60">
        <v>1.204</v>
      </c>
      <c r="G60" s="62"/>
      <c r="H60" s="12"/>
      <c r="I60" s="77" t="s">
        <v>304</v>
      </c>
      <c r="J60" s="5"/>
      <c r="K60" s="5"/>
      <c r="L60" s="1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8" customHeight="1" thickBot="1">
      <c r="A61" s="5"/>
      <c r="B61" s="472" t="s">
        <v>24</v>
      </c>
      <c r="C61" s="473"/>
      <c r="D61" s="473"/>
      <c r="E61" s="473"/>
      <c r="F61" s="473"/>
      <c r="G61" s="474"/>
      <c r="H61" s="5"/>
      <c r="I61" s="77" t="s">
        <v>313</v>
      </c>
      <c r="J61" s="5"/>
      <c r="K61" s="5"/>
      <c r="L61" s="1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>
      <c r="A62" s="5"/>
      <c r="B62" s="5"/>
      <c r="C62" s="6"/>
      <c r="D62" s="6"/>
      <c r="E62" s="6"/>
      <c r="F62" s="6"/>
      <c r="G62" s="6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customHeight="1">
      <c r="A63" s="5"/>
      <c r="B63" s="5"/>
      <c r="C63" s="7"/>
      <c r="D63" s="5"/>
      <c r="E63" s="5"/>
      <c r="F63" s="5"/>
      <c r="G63" s="5"/>
      <c r="H63" s="5"/>
      <c r="I63" s="78" t="s">
        <v>40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customHeight="1">
      <c r="A64" s="5"/>
      <c r="B64" s="5"/>
      <c r="C64" s="7"/>
      <c r="D64" s="5"/>
      <c r="E64" s="5"/>
      <c r="F64" s="5"/>
      <c r="G64" s="5"/>
      <c r="H64" s="5"/>
      <c r="I64" s="79" t="s">
        <v>302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customHeight="1">
      <c r="A65" s="5"/>
      <c r="B65" s="5"/>
      <c r="C65" s="7"/>
      <c r="D65" s="484" t="s">
        <v>13</v>
      </c>
      <c r="E65" s="484"/>
      <c r="F65" s="5"/>
      <c r="G65" s="5"/>
      <c r="H65" s="5"/>
      <c r="I65" s="79" t="s">
        <v>303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7"/>
      <c r="D66" s="495" t="s">
        <v>4</v>
      </c>
      <c r="E66" s="495"/>
      <c r="F66" s="5"/>
      <c r="G66" s="5"/>
      <c r="H66" s="5"/>
      <c r="I66" s="79" t="s">
        <v>305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8.75">
      <c r="A67" s="5"/>
      <c r="B67" s="5"/>
      <c r="C67" s="7"/>
      <c r="D67" s="496" t="s">
        <v>14</v>
      </c>
      <c r="E67" s="496"/>
      <c r="F67" s="5"/>
      <c r="G67" s="5"/>
      <c r="H67" s="5"/>
      <c r="I67" s="79" t="s">
        <v>314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8">
      <c r="A70" s="5"/>
      <c r="B70" s="243"/>
      <c r="C70" s="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8">
      <c r="A71" s="5"/>
      <c r="B71" s="244" t="s">
        <v>33</v>
      </c>
      <c r="C71" s="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8">
      <c r="A72" s="5"/>
      <c r="B72" s="244"/>
      <c r="C72" s="7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8">
      <c r="A73" s="5"/>
      <c r="B73" s="244" t="s">
        <v>18</v>
      </c>
      <c r="C73" s="7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8">
      <c r="A74" s="5"/>
      <c r="B74" s="244"/>
      <c r="C74" s="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8">
      <c r="A75" s="5"/>
      <c r="B75" s="244" t="s">
        <v>19</v>
      </c>
      <c r="C75" s="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8">
      <c r="A76" s="5"/>
      <c r="B76" s="243"/>
      <c r="C76" s="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8">
      <c r="A77" s="5"/>
      <c r="B77" s="244" t="s">
        <v>35</v>
      </c>
      <c r="C77" s="7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8">
      <c r="A78" s="5"/>
      <c r="B78" s="244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8">
      <c r="A79" s="5"/>
      <c r="B79" s="244" t="s">
        <v>41</v>
      </c>
      <c r="C79" s="7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7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7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7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 t="str">
        <f>+Salt!A27</f>
        <v>walter</v>
      </c>
      <c r="B89" s="5"/>
      <c r="C89" s="7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494" t="str">
        <f>+Salt!J27</f>
        <v>Reg.No:1240</v>
      </c>
      <c r="Z89" s="494"/>
    </row>
    <row r="90" spans="1:26">
      <c r="A90" s="182"/>
      <c r="B90" s="182"/>
      <c r="C90" s="201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</row>
    <row r="91" spans="1:26">
      <c r="A91" s="182"/>
      <c r="B91" s="182"/>
      <c r="C91" s="201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</row>
    <row r="92" spans="1:26">
      <c r="A92" s="182"/>
      <c r="B92" s="182"/>
      <c r="C92" s="201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</row>
    <row r="93" spans="1:26">
      <c r="A93" s="182"/>
      <c r="B93" s="182"/>
      <c r="C93" s="201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</row>
    <row r="94" spans="1:26">
      <c r="A94" s="182"/>
      <c r="B94" s="182"/>
      <c r="C94" s="201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</row>
    <row r="95" spans="1:26">
      <c r="A95" s="182"/>
      <c r="B95" s="182"/>
      <c r="C95" s="201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</row>
    <row r="96" spans="1:26">
      <c r="A96" s="182"/>
      <c r="B96" s="182"/>
      <c r="C96" s="201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</row>
    <row r="97" spans="1:26">
      <c r="A97" s="182"/>
      <c r="B97" s="182"/>
      <c r="C97" s="201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</row>
    <row r="98" spans="1:26">
      <c r="A98" s="182"/>
      <c r="B98" s="182"/>
      <c r="C98" s="201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</row>
    <row r="99" spans="1:26">
      <c r="A99" s="182"/>
      <c r="B99" s="182"/>
      <c r="C99" s="201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</row>
    <row r="100" spans="1:26">
      <c r="A100" s="182"/>
      <c r="B100" s="182"/>
      <c r="C100" s="201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</row>
    <row r="101" spans="1:26">
      <c r="A101" s="182"/>
      <c r="B101" s="182"/>
      <c r="C101" s="201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</row>
    <row r="102" spans="1:26">
      <c r="A102" s="182"/>
      <c r="B102" s="182"/>
      <c r="C102" s="201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</row>
    <row r="103" spans="1:26">
      <c r="A103" s="182"/>
      <c r="B103" s="182"/>
      <c r="C103" s="201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</row>
    <row r="104" spans="1:26">
      <c r="A104" s="182"/>
      <c r="B104" s="182"/>
      <c r="C104" s="201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</row>
    <row r="105" spans="1:26">
      <c r="A105" s="182"/>
      <c r="B105" s="182"/>
      <c r="C105" s="201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</row>
    <row r="106" spans="1:26">
      <c r="A106" s="182"/>
      <c r="B106" s="182"/>
      <c r="C106" s="201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</row>
    <row r="107" spans="1:26">
      <c r="A107" s="182"/>
      <c r="B107" s="182"/>
      <c r="C107" s="201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</row>
    <row r="108" spans="1:26">
      <c r="A108" s="182"/>
      <c r="B108" s="182"/>
      <c r="C108" s="201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</row>
    <row r="109" spans="1:26">
      <c r="A109" s="182"/>
      <c r="B109" s="182"/>
      <c r="C109" s="201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</row>
    <row r="110" spans="1:26">
      <c r="A110" s="182"/>
      <c r="B110" s="2" t="s">
        <v>358</v>
      </c>
      <c r="C110" s="201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</row>
    <row r="111" spans="1:26">
      <c r="A111" s="182"/>
      <c r="B111" s="202" t="s">
        <v>353</v>
      </c>
      <c r="C111" s="201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</row>
    <row r="112" spans="1:26" ht="18">
      <c r="A112" s="182"/>
      <c r="B112" s="202" t="s">
        <v>354</v>
      </c>
      <c r="C112" s="201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</row>
    <row r="113" spans="1:26">
      <c r="A113" s="182"/>
      <c r="B113" s="202" t="s">
        <v>355</v>
      </c>
      <c r="C113" s="201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</row>
    <row r="114" spans="1:26">
      <c r="A114" s="182"/>
      <c r="B114" s="202" t="s">
        <v>356</v>
      </c>
      <c r="C114" s="201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</row>
    <row r="115" spans="1:26" ht="18">
      <c r="A115" s="182"/>
      <c r="B115" s="202" t="s">
        <v>357</v>
      </c>
      <c r="C115" s="201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</row>
    <row r="116" spans="1:26" ht="18">
      <c r="A116" s="182"/>
      <c r="B116" s="203"/>
      <c r="C116" s="201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</row>
  </sheetData>
  <sheetProtection password="D9AA" sheet="1" objects="1" scenarios="1"/>
  <mergeCells count="10">
    <mergeCell ref="Y89:Z89"/>
    <mergeCell ref="D66:E66"/>
    <mergeCell ref="D67:E67"/>
    <mergeCell ref="H7:S11"/>
    <mergeCell ref="I4:S4"/>
    <mergeCell ref="B1:G2"/>
    <mergeCell ref="B61:G61"/>
    <mergeCell ref="H24:S35"/>
    <mergeCell ref="D65:E65"/>
    <mergeCell ref="H45:S47"/>
  </mergeCells>
  <hyperlinks>
    <hyperlink ref="B73" r:id="rId1"/>
    <hyperlink ref="B75" r:id="rId2" location="v=onepage&amp;q=salometer%20degrees&amp;f=false" display="https://books.google.dk/books?id=YngepOh0gx0C&amp;pg=PA159&amp;lpg=PA159&amp;dq=salometer+degrees&amp;source=bl&amp;ots=DokSrP_K_3&amp;sig=ACfU3U2AVQk45_9850wyAvcGzTW7ZGaW-Q&amp;hl=da&amp;sa=X&amp;ved=2ahUKEwjLxITq4vPkAhU76KYKHQfABpYQ6AEwEXoECAkQAQ - v=onepage&amp;q=salometer%20degrees&amp;f=false"/>
    <hyperlink ref="B71" r:id="rId3"/>
    <hyperlink ref="B77" r:id="rId4"/>
    <hyperlink ref="D66" r:id="rId5"/>
    <hyperlink ref="B79" r:id="rId6"/>
    <hyperlink ref="B110" r:id="rId7"/>
  </hyperlinks>
  <pageMargins left="0.7" right="0.7" top="0.75" bottom="0.75" header="0.3" footer="0.3"/>
  <pageSetup paperSize="9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49"/>
  <sheetViews>
    <sheetView tabSelected="1" workbookViewId="0"/>
  </sheetViews>
  <sheetFormatPr defaultRowHeight="15.75"/>
  <cols>
    <col min="1" max="1" width="3.7109375" style="123" customWidth="1"/>
    <col min="2" max="3" width="12.7109375" style="123" customWidth="1"/>
    <col min="4" max="10" width="9.7109375" style="123" customWidth="1"/>
    <col min="11" max="15" width="12.7109375" style="123" customWidth="1"/>
    <col min="16" max="16" width="4.7109375" style="123" customWidth="1"/>
    <col min="17" max="21" width="12.7109375" style="123" customWidth="1"/>
    <col min="22" max="22" width="4.7109375" style="123" customWidth="1"/>
    <col min="23" max="16384" width="9.140625" style="123"/>
  </cols>
  <sheetData>
    <row r="1" spans="1:38" ht="26.25">
      <c r="A1" s="156"/>
      <c r="B1" s="157"/>
      <c r="C1" s="157"/>
      <c r="D1" s="157"/>
      <c r="E1" s="157"/>
      <c r="F1" s="193"/>
      <c r="G1" s="157"/>
      <c r="H1" s="157"/>
      <c r="I1" s="157"/>
      <c r="J1" s="157"/>
      <c r="K1" s="519" t="s">
        <v>51</v>
      </c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8"/>
    </row>
    <row r="2" spans="1:38" ht="27" thickBot="1">
      <c r="A2" s="159"/>
      <c r="B2" s="160" t="s">
        <v>52</v>
      </c>
      <c r="C2" s="161"/>
      <c r="D2" s="161"/>
      <c r="E2" s="161"/>
      <c r="F2" s="161"/>
      <c r="G2" s="161"/>
      <c r="H2" s="161"/>
      <c r="I2" s="161"/>
      <c r="J2" s="161"/>
      <c r="K2" s="520" t="s">
        <v>254</v>
      </c>
      <c r="L2" s="520"/>
      <c r="M2" s="520"/>
      <c r="N2" s="520"/>
      <c r="O2" s="520"/>
      <c r="P2" s="161"/>
      <c r="Q2" s="520" t="s">
        <v>253</v>
      </c>
      <c r="R2" s="520"/>
      <c r="S2" s="520"/>
      <c r="T2" s="520"/>
      <c r="U2" s="520"/>
      <c r="V2" s="161"/>
      <c r="W2" s="162" t="s">
        <v>53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3"/>
    </row>
    <row r="3" spans="1:38" ht="18" customHeight="1">
      <c r="A3" s="159"/>
      <c r="B3" s="161" t="s">
        <v>54</v>
      </c>
      <c r="C3" s="161"/>
      <c r="D3" s="161"/>
      <c r="E3" s="161"/>
      <c r="F3" s="161"/>
      <c r="G3" s="161"/>
      <c r="H3" s="161"/>
      <c r="I3" s="161"/>
      <c r="J3" s="161"/>
      <c r="K3" s="507" t="s">
        <v>61</v>
      </c>
      <c r="L3" s="508"/>
      <c r="M3" s="509"/>
      <c r="N3" s="124" t="s">
        <v>16</v>
      </c>
      <c r="O3" s="125" t="s">
        <v>58</v>
      </c>
      <c r="P3" s="161"/>
      <c r="Q3" s="507" t="s">
        <v>62</v>
      </c>
      <c r="R3" s="508"/>
      <c r="S3" s="509"/>
      <c r="T3" s="124" t="s">
        <v>16</v>
      </c>
      <c r="U3" s="125" t="s">
        <v>58</v>
      </c>
      <c r="V3" s="161"/>
      <c r="W3" s="161" t="s">
        <v>59</v>
      </c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3"/>
    </row>
    <row r="4" spans="1:38" ht="18" customHeight="1">
      <c r="A4" s="159"/>
      <c r="B4" s="161" t="s">
        <v>60</v>
      </c>
      <c r="C4" s="161"/>
      <c r="D4" s="161"/>
      <c r="E4" s="161"/>
      <c r="F4" s="161"/>
      <c r="G4" s="161"/>
      <c r="H4" s="161"/>
      <c r="I4" s="161"/>
      <c r="J4" s="161"/>
      <c r="K4" s="241" t="s">
        <v>55</v>
      </c>
      <c r="L4" s="242" t="s">
        <v>56</v>
      </c>
      <c r="M4" s="242" t="s">
        <v>57</v>
      </c>
      <c r="N4" s="126">
        <v>0.01</v>
      </c>
      <c r="O4" s="127">
        <v>4.0000000000000001E-3</v>
      </c>
      <c r="P4" s="161"/>
      <c r="Q4" s="241" t="s">
        <v>55</v>
      </c>
      <c r="R4" s="242" t="s">
        <v>56</v>
      </c>
      <c r="S4" s="242" t="s">
        <v>57</v>
      </c>
      <c r="T4" s="128">
        <v>2.5000000000000001E-2</v>
      </c>
      <c r="U4" s="127">
        <v>0.01</v>
      </c>
      <c r="V4" s="161"/>
      <c r="W4" s="161" t="s">
        <v>63</v>
      </c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3"/>
    </row>
    <row r="5" spans="1:38" ht="18" customHeight="1">
      <c r="A5" s="159"/>
      <c r="B5" s="161" t="s">
        <v>64</v>
      </c>
      <c r="C5" s="161"/>
      <c r="D5" s="161"/>
      <c r="E5" s="161"/>
      <c r="F5" s="161"/>
      <c r="G5" s="161"/>
      <c r="H5" s="161"/>
      <c r="I5" s="161"/>
      <c r="J5" s="161"/>
      <c r="K5" s="129" t="s">
        <v>65</v>
      </c>
      <c r="L5" s="130" t="s">
        <v>65</v>
      </c>
      <c r="M5" s="130" t="s">
        <v>65</v>
      </c>
      <c r="N5" s="130" t="s">
        <v>65</v>
      </c>
      <c r="O5" s="131" t="s">
        <v>65</v>
      </c>
      <c r="P5" s="161"/>
      <c r="Q5" s="129" t="s">
        <v>65</v>
      </c>
      <c r="R5" s="130" t="s">
        <v>65</v>
      </c>
      <c r="S5" s="130" t="s">
        <v>65</v>
      </c>
      <c r="T5" s="130" t="s">
        <v>65</v>
      </c>
      <c r="U5" s="131" t="s">
        <v>65</v>
      </c>
      <c r="V5" s="161"/>
      <c r="W5" s="161" t="s">
        <v>66</v>
      </c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3"/>
    </row>
    <row r="6" spans="1:38" ht="18" customHeight="1">
      <c r="A6" s="159"/>
      <c r="B6" s="161" t="s">
        <v>67</v>
      </c>
      <c r="C6" s="161"/>
      <c r="D6" s="161"/>
      <c r="E6" s="161"/>
      <c r="F6" s="161"/>
      <c r="G6" s="161"/>
      <c r="H6" s="161"/>
      <c r="I6" s="161"/>
      <c r="J6" s="161"/>
      <c r="K6" s="132">
        <v>600</v>
      </c>
      <c r="L6" s="133">
        <v>400</v>
      </c>
      <c r="M6" s="134">
        <f>K6+L6</f>
        <v>1000</v>
      </c>
      <c r="N6" s="135">
        <f>M6*$N$4</f>
        <v>10</v>
      </c>
      <c r="O6" s="136">
        <f>M6*$O$4</f>
        <v>4</v>
      </c>
      <c r="P6" s="161"/>
      <c r="Q6" s="132">
        <v>0</v>
      </c>
      <c r="R6" s="133">
        <v>220</v>
      </c>
      <c r="S6" s="134">
        <f>Q6+R6</f>
        <v>220</v>
      </c>
      <c r="T6" s="135">
        <f t="shared" ref="T6:T15" si="0">S6*$T$4</f>
        <v>5.5</v>
      </c>
      <c r="U6" s="136">
        <f t="shared" ref="U6:U15" si="1">S6*$U$4</f>
        <v>2.2000000000000002</v>
      </c>
      <c r="V6" s="161"/>
      <c r="W6" s="161" t="s">
        <v>68</v>
      </c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3"/>
    </row>
    <row r="7" spans="1:38" ht="18" customHeight="1">
      <c r="A7" s="159"/>
      <c r="B7" s="161" t="s">
        <v>69</v>
      </c>
      <c r="C7" s="161"/>
      <c r="D7" s="161"/>
      <c r="E7" s="161"/>
      <c r="F7" s="161"/>
      <c r="G7" s="161"/>
      <c r="H7" s="161"/>
      <c r="I7" s="161"/>
      <c r="J7" s="161"/>
      <c r="K7" s="132">
        <v>1200</v>
      </c>
      <c r="L7" s="133">
        <v>800</v>
      </c>
      <c r="M7" s="134">
        <f t="shared" ref="M7:M15" si="2">K7+L7</f>
        <v>2000</v>
      </c>
      <c r="N7" s="135">
        <f t="shared" ref="N7:N15" si="3">M7*$N$4</f>
        <v>20</v>
      </c>
      <c r="O7" s="136">
        <f t="shared" ref="O7:O15" si="4">M7*$O$4</f>
        <v>8</v>
      </c>
      <c r="P7" s="161"/>
      <c r="Q7" s="132">
        <v>1200</v>
      </c>
      <c r="R7" s="133">
        <v>800</v>
      </c>
      <c r="S7" s="134">
        <f t="shared" ref="S7:S15" si="5">Q7+R7</f>
        <v>2000</v>
      </c>
      <c r="T7" s="135">
        <f t="shared" si="0"/>
        <v>50</v>
      </c>
      <c r="U7" s="136">
        <f t="shared" si="1"/>
        <v>20</v>
      </c>
      <c r="V7" s="161"/>
      <c r="W7" s="161" t="s">
        <v>70</v>
      </c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3"/>
    </row>
    <row r="8" spans="1:38" ht="18" customHeight="1">
      <c r="A8" s="159"/>
      <c r="B8" s="161"/>
      <c r="C8" s="161"/>
      <c r="D8" s="161"/>
      <c r="E8" s="161"/>
      <c r="F8" s="161"/>
      <c r="G8" s="161"/>
      <c r="H8" s="161"/>
      <c r="I8" s="161"/>
      <c r="J8" s="161"/>
      <c r="K8" s="132">
        <v>1800</v>
      </c>
      <c r="L8" s="133">
        <v>1200</v>
      </c>
      <c r="M8" s="134">
        <f t="shared" si="2"/>
        <v>3000</v>
      </c>
      <c r="N8" s="135">
        <f t="shared" si="3"/>
        <v>30</v>
      </c>
      <c r="O8" s="136">
        <f t="shared" si="4"/>
        <v>12</v>
      </c>
      <c r="P8" s="161"/>
      <c r="Q8" s="132">
        <v>1800</v>
      </c>
      <c r="R8" s="133">
        <v>1200</v>
      </c>
      <c r="S8" s="134">
        <f t="shared" si="5"/>
        <v>3000</v>
      </c>
      <c r="T8" s="135">
        <f t="shared" si="0"/>
        <v>75</v>
      </c>
      <c r="U8" s="136">
        <f t="shared" si="1"/>
        <v>30</v>
      </c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3"/>
    </row>
    <row r="9" spans="1:38" ht="18" customHeight="1">
      <c r="A9" s="159"/>
      <c r="B9" s="161" t="s">
        <v>242</v>
      </c>
      <c r="C9" s="161"/>
      <c r="D9" s="161"/>
      <c r="E9" s="161"/>
      <c r="F9" s="161"/>
      <c r="G9" s="161"/>
      <c r="H9" s="161"/>
      <c r="I9" s="161"/>
      <c r="J9" s="161"/>
      <c r="K9" s="132">
        <v>2400</v>
      </c>
      <c r="L9" s="133">
        <v>1600</v>
      </c>
      <c r="M9" s="134">
        <f t="shared" si="2"/>
        <v>4000</v>
      </c>
      <c r="N9" s="135">
        <f t="shared" si="3"/>
        <v>40</v>
      </c>
      <c r="O9" s="136">
        <f t="shared" si="4"/>
        <v>16</v>
      </c>
      <c r="P9" s="161"/>
      <c r="Q9" s="132">
        <v>2400</v>
      </c>
      <c r="R9" s="133">
        <v>1600</v>
      </c>
      <c r="S9" s="134">
        <f t="shared" si="5"/>
        <v>4000</v>
      </c>
      <c r="T9" s="135">
        <f t="shared" si="0"/>
        <v>100</v>
      </c>
      <c r="U9" s="136">
        <f t="shared" si="1"/>
        <v>40</v>
      </c>
      <c r="V9" s="161"/>
      <c r="W9" s="164" t="s">
        <v>71</v>
      </c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3"/>
    </row>
    <row r="10" spans="1:38" ht="18" customHeight="1">
      <c r="A10" s="159"/>
      <c r="B10" s="161" t="s">
        <v>385</v>
      </c>
      <c r="C10" s="161"/>
      <c r="D10" s="161"/>
      <c r="E10" s="161"/>
      <c r="F10" s="161"/>
      <c r="G10" s="161"/>
      <c r="H10" s="161"/>
      <c r="I10" s="161"/>
      <c r="J10" s="161"/>
      <c r="K10" s="137">
        <v>3000</v>
      </c>
      <c r="L10" s="138">
        <v>2000</v>
      </c>
      <c r="M10" s="139">
        <f t="shared" si="2"/>
        <v>5000</v>
      </c>
      <c r="N10" s="140">
        <f t="shared" si="3"/>
        <v>50</v>
      </c>
      <c r="O10" s="141">
        <f t="shared" si="4"/>
        <v>20</v>
      </c>
      <c r="P10" s="161"/>
      <c r="Q10" s="132">
        <v>3000</v>
      </c>
      <c r="R10" s="133">
        <v>2000</v>
      </c>
      <c r="S10" s="134">
        <f t="shared" si="5"/>
        <v>5000</v>
      </c>
      <c r="T10" s="135">
        <f t="shared" si="0"/>
        <v>125</v>
      </c>
      <c r="U10" s="136">
        <f t="shared" si="1"/>
        <v>50</v>
      </c>
      <c r="V10" s="161"/>
      <c r="W10" s="161" t="s">
        <v>72</v>
      </c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3"/>
    </row>
    <row r="11" spans="1:38" ht="18" customHeight="1">
      <c r="A11" s="159"/>
      <c r="B11" s="161" t="s">
        <v>386</v>
      </c>
      <c r="C11" s="161"/>
      <c r="D11" s="161"/>
      <c r="E11" s="161"/>
      <c r="F11" s="161"/>
      <c r="G11" s="161"/>
      <c r="H11" s="161"/>
      <c r="I11" s="161"/>
      <c r="J11" s="161"/>
      <c r="K11" s="132">
        <v>3600</v>
      </c>
      <c r="L11" s="133">
        <v>2400</v>
      </c>
      <c r="M11" s="134">
        <f t="shared" si="2"/>
        <v>6000</v>
      </c>
      <c r="N11" s="135">
        <f t="shared" si="3"/>
        <v>60</v>
      </c>
      <c r="O11" s="136">
        <f t="shared" si="4"/>
        <v>24</v>
      </c>
      <c r="P11" s="161"/>
      <c r="Q11" s="132">
        <v>3600</v>
      </c>
      <c r="R11" s="133">
        <v>2400</v>
      </c>
      <c r="S11" s="134">
        <f t="shared" si="5"/>
        <v>6000</v>
      </c>
      <c r="T11" s="135">
        <f t="shared" si="0"/>
        <v>150</v>
      </c>
      <c r="U11" s="136">
        <f t="shared" si="1"/>
        <v>60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3"/>
    </row>
    <row r="12" spans="1:38" ht="18" customHeight="1">
      <c r="A12" s="159"/>
      <c r="B12" s="161"/>
      <c r="C12" s="161"/>
      <c r="D12" s="161"/>
      <c r="E12" s="161"/>
      <c r="F12" s="161"/>
      <c r="G12" s="161"/>
      <c r="H12" s="161"/>
      <c r="I12" s="161"/>
      <c r="J12" s="161"/>
      <c r="K12" s="132">
        <v>4200</v>
      </c>
      <c r="L12" s="133">
        <v>2800</v>
      </c>
      <c r="M12" s="134">
        <f t="shared" si="2"/>
        <v>7000</v>
      </c>
      <c r="N12" s="135">
        <f t="shared" si="3"/>
        <v>70</v>
      </c>
      <c r="O12" s="136">
        <f t="shared" si="4"/>
        <v>28</v>
      </c>
      <c r="P12" s="161"/>
      <c r="Q12" s="132">
        <v>4200</v>
      </c>
      <c r="R12" s="133">
        <v>2800</v>
      </c>
      <c r="S12" s="134">
        <f t="shared" si="5"/>
        <v>7000</v>
      </c>
      <c r="T12" s="135">
        <f t="shared" si="0"/>
        <v>175</v>
      </c>
      <c r="U12" s="136">
        <f t="shared" si="1"/>
        <v>70</v>
      </c>
      <c r="V12" s="161"/>
      <c r="W12" s="164" t="s">
        <v>73</v>
      </c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3"/>
    </row>
    <row r="13" spans="1:38" ht="18" customHeight="1">
      <c r="A13" s="159"/>
      <c r="B13" s="161" t="s">
        <v>388</v>
      </c>
      <c r="C13" s="161"/>
      <c r="D13" s="161"/>
      <c r="E13" s="161"/>
      <c r="F13" s="161"/>
      <c r="G13" s="161"/>
      <c r="H13" s="161"/>
      <c r="I13" s="161"/>
      <c r="J13" s="161"/>
      <c r="K13" s="132">
        <v>4800</v>
      </c>
      <c r="L13" s="133">
        <v>3200</v>
      </c>
      <c r="M13" s="134">
        <f t="shared" si="2"/>
        <v>8000</v>
      </c>
      <c r="N13" s="135">
        <f t="shared" si="3"/>
        <v>80</v>
      </c>
      <c r="O13" s="136">
        <f t="shared" si="4"/>
        <v>32</v>
      </c>
      <c r="P13" s="161"/>
      <c r="Q13" s="132">
        <v>4800</v>
      </c>
      <c r="R13" s="133">
        <v>3200</v>
      </c>
      <c r="S13" s="134">
        <f t="shared" si="5"/>
        <v>8000</v>
      </c>
      <c r="T13" s="135">
        <f t="shared" si="0"/>
        <v>200</v>
      </c>
      <c r="U13" s="136">
        <f t="shared" si="1"/>
        <v>80</v>
      </c>
      <c r="V13" s="161"/>
      <c r="W13" s="161" t="s">
        <v>74</v>
      </c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3"/>
    </row>
    <row r="14" spans="1:38" ht="18" customHeight="1">
      <c r="A14" s="159"/>
      <c r="B14" s="161" t="s">
        <v>390</v>
      </c>
      <c r="C14" s="161"/>
      <c r="D14" s="161"/>
      <c r="E14" s="161"/>
      <c r="F14" s="161"/>
      <c r="G14" s="161"/>
      <c r="H14" s="161"/>
      <c r="I14" s="161"/>
      <c r="J14" s="161"/>
      <c r="K14" s="132">
        <v>5400</v>
      </c>
      <c r="L14" s="133">
        <v>3600</v>
      </c>
      <c r="M14" s="134">
        <f t="shared" si="2"/>
        <v>9000</v>
      </c>
      <c r="N14" s="135">
        <f t="shared" si="3"/>
        <v>90</v>
      </c>
      <c r="O14" s="136">
        <f t="shared" si="4"/>
        <v>36</v>
      </c>
      <c r="P14" s="161"/>
      <c r="Q14" s="132">
        <v>5400</v>
      </c>
      <c r="R14" s="133">
        <v>3600</v>
      </c>
      <c r="S14" s="134">
        <f t="shared" si="5"/>
        <v>9000</v>
      </c>
      <c r="T14" s="135">
        <f t="shared" si="0"/>
        <v>225</v>
      </c>
      <c r="U14" s="136">
        <f t="shared" si="1"/>
        <v>90</v>
      </c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3"/>
    </row>
    <row r="15" spans="1:38" ht="18" customHeight="1" thickBot="1">
      <c r="A15" s="159"/>
      <c r="B15" s="161" t="s">
        <v>389</v>
      </c>
      <c r="C15" s="161"/>
      <c r="D15" s="161"/>
      <c r="E15" s="161"/>
      <c r="F15" s="161"/>
      <c r="G15" s="161"/>
      <c r="H15" s="161"/>
      <c r="I15" s="161"/>
      <c r="J15" s="161"/>
      <c r="K15" s="142">
        <v>6000</v>
      </c>
      <c r="L15" s="143">
        <v>4000</v>
      </c>
      <c r="M15" s="144">
        <f t="shared" si="2"/>
        <v>10000</v>
      </c>
      <c r="N15" s="145">
        <f t="shared" si="3"/>
        <v>100</v>
      </c>
      <c r="O15" s="146">
        <f t="shared" si="4"/>
        <v>40</v>
      </c>
      <c r="P15" s="161"/>
      <c r="Q15" s="142">
        <v>6000</v>
      </c>
      <c r="R15" s="143">
        <v>12000</v>
      </c>
      <c r="S15" s="144">
        <f t="shared" si="5"/>
        <v>18000</v>
      </c>
      <c r="T15" s="145">
        <f t="shared" si="0"/>
        <v>450</v>
      </c>
      <c r="U15" s="146">
        <f t="shared" si="1"/>
        <v>180</v>
      </c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3"/>
    </row>
    <row r="16" spans="1:38" ht="18" customHeight="1">
      <c r="A16" s="159"/>
      <c r="B16" s="161"/>
      <c r="C16" s="165"/>
      <c r="D16" s="161"/>
      <c r="E16" s="161"/>
      <c r="F16" s="161"/>
      <c r="G16" s="161"/>
      <c r="H16" s="161"/>
      <c r="I16" s="161"/>
      <c r="J16" s="161"/>
      <c r="K16" s="166"/>
      <c r="L16" s="166"/>
      <c r="M16" s="166"/>
      <c r="N16" s="167"/>
      <c r="O16" s="167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3"/>
    </row>
    <row r="17" spans="1:38" ht="16.5" thickBot="1">
      <c r="A17" s="159"/>
      <c r="B17" s="521" t="s">
        <v>56</v>
      </c>
      <c r="C17" s="521"/>
      <c r="D17" s="161"/>
      <c r="E17" s="522" t="s">
        <v>75</v>
      </c>
      <c r="F17" s="522"/>
      <c r="G17" s="522" t="s">
        <v>76</v>
      </c>
      <c r="H17" s="522"/>
      <c r="I17" s="161"/>
      <c r="J17" s="161"/>
      <c r="K17" s="520" t="s">
        <v>255</v>
      </c>
      <c r="L17" s="520"/>
      <c r="M17" s="520"/>
      <c r="N17" s="520"/>
      <c r="O17" s="520"/>
      <c r="P17" s="161"/>
      <c r="Q17" s="520" t="s">
        <v>256</v>
      </c>
      <c r="R17" s="520"/>
      <c r="S17" s="520"/>
      <c r="T17" s="520"/>
      <c r="U17" s="520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3"/>
    </row>
    <row r="18" spans="1:38" ht="18" customHeight="1">
      <c r="A18" s="159"/>
      <c r="B18" s="147">
        <v>800</v>
      </c>
      <c r="C18" s="168" t="s">
        <v>65</v>
      </c>
      <c r="D18" s="168"/>
      <c r="E18" s="148">
        <f>B18*1.5</f>
        <v>1200</v>
      </c>
      <c r="F18" s="168" t="s">
        <v>77</v>
      </c>
      <c r="G18" s="148">
        <f>B18*3</f>
        <v>2400</v>
      </c>
      <c r="H18" s="168" t="s">
        <v>65</v>
      </c>
      <c r="I18" s="168"/>
      <c r="J18" s="161"/>
      <c r="K18" s="507" t="s">
        <v>79</v>
      </c>
      <c r="L18" s="508"/>
      <c r="M18" s="509"/>
      <c r="N18" s="124" t="s">
        <v>16</v>
      </c>
      <c r="O18" s="125" t="s">
        <v>58</v>
      </c>
      <c r="P18" s="161"/>
      <c r="Q18" s="507" t="s">
        <v>80</v>
      </c>
      <c r="R18" s="508"/>
      <c r="S18" s="509"/>
      <c r="T18" s="124" t="s">
        <v>16</v>
      </c>
      <c r="U18" s="125" t="s">
        <v>58</v>
      </c>
      <c r="V18" s="161"/>
      <c r="W18" s="164" t="s">
        <v>78</v>
      </c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3"/>
    </row>
    <row r="19" spans="1:38" ht="18" customHeight="1">
      <c r="A19" s="159"/>
      <c r="B19" s="161"/>
      <c r="C19" s="161"/>
      <c r="D19" s="161"/>
      <c r="E19" s="161"/>
      <c r="F19" s="161"/>
      <c r="G19" s="161"/>
      <c r="H19" s="161"/>
      <c r="I19" s="161"/>
      <c r="J19" s="161"/>
      <c r="K19" s="241" t="s">
        <v>55</v>
      </c>
      <c r="L19" s="242" t="s">
        <v>56</v>
      </c>
      <c r="M19" s="242" t="s">
        <v>57</v>
      </c>
      <c r="N19" s="128">
        <v>1.4999999999999999E-2</v>
      </c>
      <c r="O19" s="127">
        <v>4.0000000000000001E-3</v>
      </c>
      <c r="P19" s="161"/>
      <c r="Q19" s="241" t="s">
        <v>55</v>
      </c>
      <c r="R19" s="242" t="s">
        <v>56</v>
      </c>
      <c r="S19" s="242" t="s">
        <v>57</v>
      </c>
      <c r="T19" s="128">
        <v>0.03</v>
      </c>
      <c r="U19" s="127">
        <v>1.2E-2</v>
      </c>
      <c r="V19" s="161"/>
      <c r="W19" s="161" t="s">
        <v>81</v>
      </c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3"/>
    </row>
    <row r="20" spans="1:38" ht="18" customHeight="1">
      <c r="A20" s="159"/>
      <c r="B20" s="161" t="s">
        <v>82</v>
      </c>
      <c r="C20" s="161"/>
      <c r="D20" s="161"/>
      <c r="E20" s="161"/>
      <c r="F20" s="169">
        <f>B18+E18</f>
        <v>2000</v>
      </c>
      <c r="G20" s="170" t="s">
        <v>83</v>
      </c>
      <c r="H20" s="169">
        <f>B18+G18</f>
        <v>3200</v>
      </c>
      <c r="I20" s="513" t="s">
        <v>84</v>
      </c>
      <c r="J20" s="514"/>
      <c r="K20" s="129" t="s">
        <v>65</v>
      </c>
      <c r="L20" s="130" t="s">
        <v>65</v>
      </c>
      <c r="M20" s="130" t="s">
        <v>65</v>
      </c>
      <c r="N20" s="130" t="s">
        <v>65</v>
      </c>
      <c r="O20" s="131" t="s">
        <v>65</v>
      </c>
      <c r="P20" s="161"/>
      <c r="Q20" s="129" t="s">
        <v>65</v>
      </c>
      <c r="R20" s="130" t="s">
        <v>65</v>
      </c>
      <c r="S20" s="130" t="s">
        <v>65</v>
      </c>
      <c r="T20" s="130" t="s">
        <v>65</v>
      </c>
      <c r="U20" s="131" t="s">
        <v>65</v>
      </c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3"/>
    </row>
    <row r="21" spans="1:38" ht="18" customHeight="1">
      <c r="A21" s="159"/>
      <c r="B21" s="161" t="s">
        <v>387</v>
      </c>
      <c r="C21" s="161"/>
      <c r="D21" s="161"/>
      <c r="E21" s="161"/>
      <c r="F21" s="161"/>
      <c r="G21" s="161"/>
      <c r="H21" s="161"/>
      <c r="I21" s="161"/>
      <c r="J21" s="161"/>
      <c r="K21" s="132">
        <v>600</v>
      </c>
      <c r="L21" s="133">
        <v>400</v>
      </c>
      <c r="M21" s="134">
        <f>K21+L21</f>
        <v>1000</v>
      </c>
      <c r="N21" s="135">
        <f>M21*$N$19</f>
        <v>15</v>
      </c>
      <c r="O21" s="136">
        <f>M21*$O$19</f>
        <v>4</v>
      </c>
      <c r="P21" s="161"/>
      <c r="Q21" s="132">
        <v>600</v>
      </c>
      <c r="R21" s="133">
        <v>400</v>
      </c>
      <c r="S21" s="134">
        <f>Q21+R21</f>
        <v>1000</v>
      </c>
      <c r="T21" s="135">
        <f>S21*$T$19</f>
        <v>30</v>
      </c>
      <c r="U21" s="136">
        <f>S21*$U$19</f>
        <v>12</v>
      </c>
      <c r="V21" s="161"/>
      <c r="W21" s="164" t="s">
        <v>85</v>
      </c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3"/>
    </row>
    <row r="22" spans="1:38" ht="18" customHeight="1">
      <c r="A22" s="159"/>
      <c r="B22" s="161" t="s">
        <v>86</v>
      </c>
      <c r="C22" s="161"/>
      <c r="D22" s="161"/>
      <c r="E22" s="161"/>
      <c r="F22" s="515" t="s">
        <v>87</v>
      </c>
      <c r="G22" s="515"/>
      <c r="H22" s="515"/>
      <c r="I22" s="515"/>
      <c r="J22" s="149"/>
      <c r="K22" s="150">
        <v>1200</v>
      </c>
      <c r="L22" s="151">
        <v>800</v>
      </c>
      <c r="M22" s="152">
        <f t="shared" ref="M22:M30" si="6">K22+L22</f>
        <v>2000</v>
      </c>
      <c r="N22" s="153">
        <f t="shared" ref="N22:N30" si="7">M22*$N$19</f>
        <v>30</v>
      </c>
      <c r="O22" s="154">
        <f t="shared" ref="O22:O30" si="8">M22*$O$19</f>
        <v>8</v>
      </c>
      <c r="P22" s="161"/>
      <c r="Q22" s="132">
        <v>1200</v>
      </c>
      <c r="R22" s="133">
        <v>800</v>
      </c>
      <c r="S22" s="134">
        <f t="shared" ref="S22:S30" si="9">Q22+R22</f>
        <v>2000</v>
      </c>
      <c r="T22" s="135">
        <f t="shared" ref="T22:T30" si="10">S22*$T$19</f>
        <v>60</v>
      </c>
      <c r="U22" s="136">
        <f t="shared" ref="U22:U30" si="11">S22*$U$19</f>
        <v>24</v>
      </c>
      <c r="V22" s="161"/>
      <c r="W22" s="161" t="s">
        <v>88</v>
      </c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3"/>
    </row>
    <row r="23" spans="1:38" ht="18" customHeight="1">
      <c r="A23" s="159"/>
      <c r="B23" s="161" t="s">
        <v>89</v>
      </c>
      <c r="C23" s="161"/>
      <c r="D23" s="161"/>
      <c r="E23" s="161"/>
      <c r="F23" s="515"/>
      <c r="G23" s="515"/>
      <c r="H23" s="515"/>
      <c r="I23" s="515"/>
      <c r="J23" s="149"/>
      <c r="K23" s="132">
        <v>1800</v>
      </c>
      <c r="L23" s="133">
        <v>1200</v>
      </c>
      <c r="M23" s="134">
        <f t="shared" si="6"/>
        <v>3000</v>
      </c>
      <c r="N23" s="135">
        <f t="shared" si="7"/>
        <v>45</v>
      </c>
      <c r="O23" s="136">
        <f t="shared" si="8"/>
        <v>12</v>
      </c>
      <c r="P23" s="161"/>
      <c r="Q23" s="132">
        <v>1800</v>
      </c>
      <c r="R23" s="133">
        <v>1200</v>
      </c>
      <c r="S23" s="134">
        <f t="shared" si="9"/>
        <v>3000</v>
      </c>
      <c r="T23" s="135">
        <f t="shared" si="10"/>
        <v>90</v>
      </c>
      <c r="U23" s="136">
        <f t="shared" si="11"/>
        <v>36</v>
      </c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3"/>
    </row>
    <row r="24" spans="1:38" ht="18" customHeight="1">
      <c r="A24" s="159"/>
      <c r="B24" s="161"/>
      <c r="C24" s="161"/>
      <c r="D24" s="161"/>
      <c r="E24" s="161"/>
      <c r="F24" s="161"/>
      <c r="G24" s="161"/>
      <c r="H24" s="161"/>
      <c r="I24" s="161"/>
      <c r="J24" s="161"/>
      <c r="K24" s="132">
        <v>2400</v>
      </c>
      <c r="L24" s="133">
        <v>1600</v>
      </c>
      <c r="M24" s="134">
        <f t="shared" si="6"/>
        <v>4000</v>
      </c>
      <c r="N24" s="135">
        <f t="shared" si="7"/>
        <v>60</v>
      </c>
      <c r="O24" s="136">
        <f t="shared" si="8"/>
        <v>16</v>
      </c>
      <c r="P24" s="161"/>
      <c r="Q24" s="132">
        <v>2400</v>
      </c>
      <c r="R24" s="133">
        <v>1600</v>
      </c>
      <c r="S24" s="134">
        <f t="shared" si="9"/>
        <v>4000</v>
      </c>
      <c r="T24" s="135">
        <f t="shared" si="10"/>
        <v>120</v>
      </c>
      <c r="U24" s="136">
        <f t="shared" si="11"/>
        <v>48</v>
      </c>
      <c r="V24" s="161"/>
      <c r="W24" s="164" t="s">
        <v>90</v>
      </c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3"/>
    </row>
    <row r="25" spans="1:38" ht="18" customHeight="1">
      <c r="A25" s="159"/>
      <c r="B25" s="516" t="s">
        <v>91</v>
      </c>
      <c r="C25" s="516"/>
      <c r="D25" s="516"/>
      <c r="E25" s="516"/>
      <c r="F25" s="516"/>
      <c r="G25" s="516"/>
      <c r="H25" s="516"/>
      <c r="I25" s="516"/>
      <c r="J25" s="161"/>
      <c r="K25" s="132">
        <v>3000</v>
      </c>
      <c r="L25" s="133">
        <v>2000</v>
      </c>
      <c r="M25" s="134">
        <f t="shared" si="6"/>
        <v>5000</v>
      </c>
      <c r="N25" s="135">
        <f t="shared" si="7"/>
        <v>75</v>
      </c>
      <c r="O25" s="136">
        <f t="shared" si="8"/>
        <v>20</v>
      </c>
      <c r="P25" s="161"/>
      <c r="Q25" s="132">
        <v>3000</v>
      </c>
      <c r="R25" s="133">
        <v>2000</v>
      </c>
      <c r="S25" s="134">
        <f t="shared" si="9"/>
        <v>5000</v>
      </c>
      <c r="T25" s="135">
        <f t="shared" si="10"/>
        <v>150</v>
      </c>
      <c r="U25" s="136">
        <f t="shared" si="11"/>
        <v>60</v>
      </c>
      <c r="V25" s="161"/>
      <c r="W25" s="161" t="s">
        <v>92</v>
      </c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3"/>
    </row>
    <row r="26" spans="1:38" ht="18" customHeight="1">
      <c r="A26" s="159"/>
      <c r="B26" s="161" t="s">
        <v>93</v>
      </c>
      <c r="C26" s="161"/>
      <c r="D26" s="161"/>
      <c r="E26" s="161"/>
      <c r="F26" s="161"/>
      <c r="G26" s="161"/>
      <c r="H26" s="161"/>
      <c r="I26" s="161"/>
      <c r="J26" s="161"/>
      <c r="K26" s="132">
        <v>3600</v>
      </c>
      <c r="L26" s="133">
        <v>2400</v>
      </c>
      <c r="M26" s="134">
        <f t="shared" si="6"/>
        <v>6000</v>
      </c>
      <c r="N26" s="135">
        <f t="shared" si="7"/>
        <v>90</v>
      </c>
      <c r="O26" s="136">
        <f t="shared" si="8"/>
        <v>24</v>
      </c>
      <c r="P26" s="161"/>
      <c r="Q26" s="132">
        <v>3600</v>
      </c>
      <c r="R26" s="133">
        <v>2400</v>
      </c>
      <c r="S26" s="134">
        <f t="shared" si="9"/>
        <v>6000</v>
      </c>
      <c r="T26" s="135">
        <f t="shared" si="10"/>
        <v>180</v>
      </c>
      <c r="U26" s="136">
        <f t="shared" si="11"/>
        <v>72</v>
      </c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3"/>
    </row>
    <row r="27" spans="1:38" ht="18" customHeight="1">
      <c r="A27" s="159"/>
      <c r="B27" s="161" t="s">
        <v>94</v>
      </c>
      <c r="C27" s="161"/>
      <c r="D27" s="161"/>
      <c r="E27" s="161"/>
      <c r="F27" s="161"/>
      <c r="G27" s="161"/>
      <c r="H27" s="161"/>
      <c r="I27" s="161"/>
      <c r="J27" s="161"/>
      <c r="K27" s="132">
        <v>4200</v>
      </c>
      <c r="L27" s="133">
        <v>2800</v>
      </c>
      <c r="M27" s="134">
        <f t="shared" si="6"/>
        <v>7000</v>
      </c>
      <c r="N27" s="135">
        <f t="shared" si="7"/>
        <v>105</v>
      </c>
      <c r="O27" s="136">
        <f t="shared" si="8"/>
        <v>28</v>
      </c>
      <c r="P27" s="161"/>
      <c r="Q27" s="132">
        <v>4200</v>
      </c>
      <c r="R27" s="133">
        <v>2800</v>
      </c>
      <c r="S27" s="134">
        <f t="shared" si="9"/>
        <v>7000</v>
      </c>
      <c r="T27" s="135">
        <f t="shared" si="10"/>
        <v>210</v>
      </c>
      <c r="U27" s="136">
        <f t="shared" si="11"/>
        <v>84</v>
      </c>
      <c r="V27" s="161"/>
      <c r="W27" s="161" t="s">
        <v>95</v>
      </c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3"/>
    </row>
    <row r="28" spans="1:38" ht="18" customHeight="1">
      <c r="A28" s="159"/>
      <c r="B28" s="572" t="s">
        <v>422</v>
      </c>
      <c r="C28" s="161"/>
      <c r="D28" s="161"/>
      <c r="E28" s="161"/>
      <c r="F28" s="161"/>
      <c r="G28" s="161"/>
      <c r="H28" s="161"/>
      <c r="I28" s="161"/>
      <c r="J28" s="161"/>
      <c r="K28" s="132">
        <v>4800</v>
      </c>
      <c r="L28" s="133">
        <v>3200</v>
      </c>
      <c r="M28" s="134">
        <f t="shared" si="6"/>
        <v>8000</v>
      </c>
      <c r="N28" s="135">
        <f t="shared" si="7"/>
        <v>120</v>
      </c>
      <c r="O28" s="136">
        <f t="shared" si="8"/>
        <v>32</v>
      </c>
      <c r="P28" s="161"/>
      <c r="Q28" s="132">
        <v>4800</v>
      </c>
      <c r="R28" s="133">
        <v>3200</v>
      </c>
      <c r="S28" s="134">
        <f t="shared" si="9"/>
        <v>8000</v>
      </c>
      <c r="T28" s="135">
        <f t="shared" si="10"/>
        <v>240</v>
      </c>
      <c r="U28" s="136">
        <f t="shared" si="11"/>
        <v>96</v>
      </c>
      <c r="V28" s="161"/>
      <c r="W28" s="161" t="s">
        <v>96</v>
      </c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3"/>
    </row>
    <row r="29" spans="1:38" ht="18" customHeight="1">
      <c r="A29" s="159"/>
      <c r="B29" s="161"/>
      <c r="C29" s="161"/>
      <c r="D29" s="161"/>
      <c r="E29" s="161"/>
      <c r="F29" s="161"/>
      <c r="G29" s="161"/>
      <c r="H29" s="161"/>
      <c r="I29" s="161"/>
      <c r="J29" s="161"/>
      <c r="K29" s="132">
        <v>5400</v>
      </c>
      <c r="L29" s="133">
        <v>3600</v>
      </c>
      <c r="M29" s="134">
        <f t="shared" si="6"/>
        <v>9000</v>
      </c>
      <c r="N29" s="135">
        <f t="shared" si="7"/>
        <v>135</v>
      </c>
      <c r="O29" s="136">
        <f t="shared" si="8"/>
        <v>36</v>
      </c>
      <c r="P29" s="161"/>
      <c r="Q29" s="132">
        <v>5400</v>
      </c>
      <c r="R29" s="133">
        <v>3600</v>
      </c>
      <c r="S29" s="134">
        <f t="shared" si="9"/>
        <v>9000</v>
      </c>
      <c r="T29" s="135">
        <f t="shared" si="10"/>
        <v>270</v>
      </c>
      <c r="U29" s="136">
        <f t="shared" si="11"/>
        <v>108</v>
      </c>
      <c r="V29" s="161"/>
      <c r="W29" s="161" t="s">
        <v>97</v>
      </c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3"/>
    </row>
    <row r="30" spans="1:38" ht="18" customHeight="1" thickBot="1">
      <c r="A30" s="159"/>
      <c r="B30" s="160" t="s">
        <v>52</v>
      </c>
      <c r="C30" s="161"/>
      <c r="D30" s="161"/>
      <c r="E30" s="161"/>
      <c r="F30" s="161"/>
      <c r="G30" s="161"/>
      <c r="H30" s="161"/>
      <c r="I30" s="161"/>
      <c r="J30" s="161"/>
      <c r="K30" s="142">
        <v>6000</v>
      </c>
      <c r="L30" s="143">
        <v>4000</v>
      </c>
      <c r="M30" s="144">
        <f t="shared" si="6"/>
        <v>10000</v>
      </c>
      <c r="N30" s="145">
        <f t="shared" si="7"/>
        <v>150</v>
      </c>
      <c r="O30" s="146">
        <f t="shared" si="8"/>
        <v>40</v>
      </c>
      <c r="P30" s="161"/>
      <c r="Q30" s="142">
        <v>12000</v>
      </c>
      <c r="R30" s="143">
        <v>6000</v>
      </c>
      <c r="S30" s="144">
        <f t="shared" si="9"/>
        <v>18000</v>
      </c>
      <c r="T30" s="145">
        <f t="shared" si="10"/>
        <v>540</v>
      </c>
      <c r="U30" s="146">
        <f t="shared" si="11"/>
        <v>216</v>
      </c>
      <c r="V30" s="161"/>
      <c r="W30" s="161" t="s">
        <v>98</v>
      </c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3"/>
    </row>
    <row r="31" spans="1:38" ht="18" customHeight="1">
      <c r="A31" s="159"/>
      <c r="B31" s="518" t="str">
        <f>CONCATENATE("Et stykke kød på ",B37,C37,"indgnides med ",E37,F37,"salt og lægges i køleskab i nogle timer")</f>
        <v>Et stykke kød på 1000 gram indgnides med 10 gram salt og lægges i køleskab i nogle timer</v>
      </c>
      <c r="C31" s="518"/>
      <c r="D31" s="518"/>
      <c r="E31" s="518"/>
      <c r="F31" s="518"/>
      <c r="G31" s="518"/>
      <c r="H31" s="518"/>
      <c r="I31" s="518"/>
      <c r="J31" s="518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3"/>
    </row>
    <row r="32" spans="1:38" ht="18" customHeight="1">
      <c r="A32" s="159"/>
      <c r="B32" s="518" t="s">
        <v>249</v>
      </c>
      <c r="C32" s="518"/>
      <c r="D32" s="518"/>
      <c r="E32" s="518"/>
      <c r="F32" s="518"/>
      <c r="G32" s="518"/>
      <c r="H32" s="518"/>
      <c r="I32" s="518"/>
      <c r="J32" s="518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3"/>
    </row>
    <row r="33" spans="1:38" ht="18" customHeight="1">
      <c r="A33" s="159"/>
      <c r="B33" s="193" t="s">
        <v>250</v>
      </c>
      <c r="C33" s="161"/>
      <c r="D33" s="195">
        <v>2E-3</v>
      </c>
      <c r="E33" s="517" t="s">
        <v>247</v>
      </c>
      <c r="F33" s="515"/>
      <c r="G33" s="515"/>
      <c r="H33" s="515"/>
      <c r="I33" s="194" t="s">
        <v>244</v>
      </c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7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3"/>
    </row>
    <row r="34" spans="1:38" ht="18" customHeight="1">
      <c r="A34" s="159"/>
      <c r="B34" s="193" t="s">
        <v>251</v>
      </c>
      <c r="C34" s="161"/>
      <c r="D34" s="195">
        <v>6.0000000000000001E-3</v>
      </c>
      <c r="E34" s="161"/>
      <c r="F34" s="147" t="s">
        <v>246</v>
      </c>
      <c r="G34" s="161"/>
      <c r="H34" s="161"/>
      <c r="I34" s="194" t="s">
        <v>245</v>
      </c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7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3"/>
    </row>
    <row r="35" spans="1:38" ht="18" customHeight="1">
      <c r="A35" s="159"/>
      <c r="B35" s="193" t="s">
        <v>252</v>
      </c>
      <c r="C35" s="161"/>
      <c r="D35" s="195">
        <v>0.01</v>
      </c>
      <c r="E35" s="161"/>
      <c r="F35" s="161"/>
      <c r="G35" s="161"/>
      <c r="H35" s="161"/>
      <c r="I35" s="194" t="s">
        <v>246</v>
      </c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72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3"/>
    </row>
    <row r="36" spans="1:38" ht="18" customHeight="1">
      <c r="A36" s="159"/>
      <c r="B36" s="173" t="s">
        <v>56</v>
      </c>
      <c r="C36" s="174"/>
      <c r="D36" s="161"/>
      <c r="E36" s="175" t="s">
        <v>99</v>
      </c>
      <c r="F36" s="176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3"/>
    </row>
    <row r="37" spans="1:38" ht="18" customHeight="1">
      <c r="A37" s="159"/>
      <c r="B37" s="147">
        <v>1000</v>
      </c>
      <c r="C37" s="192" t="s">
        <v>248</v>
      </c>
      <c r="D37" s="168"/>
      <c r="E37" s="155">
        <f>IF(F34="let",B37*D33,IF(F34="Middel",B37*D34,IF(F34="Kraftig",B37*D35)))</f>
        <v>10</v>
      </c>
      <c r="F37" s="192" t="s">
        <v>248</v>
      </c>
      <c r="G37" s="161"/>
      <c r="H37" s="161"/>
      <c r="I37" s="510" t="s">
        <v>100</v>
      </c>
      <c r="J37" s="510"/>
      <c r="K37" s="510"/>
      <c r="L37" s="510"/>
      <c r="M37" s="510"/>
      <c r="N37" s="510"/>
      <c r="O37" s="510"/>
      <c r="P37" s="510"/>
      <c r="Q37" s="510"/>
      <c r="R37" s="510"/>
      <c r="S37" s="510"/>
      <c r="T37" s="510"/>
      <c r="U37" s="510"/>
      <c r="V37" s="510"/>
      <c r="W37" s="510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3"/>
    </row>
    <row r="38" spans="1:38" ht="18" customHeight="1">
      <c r="A38" s="159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3"/>
    </row>
    <row r="39" spans="1:38" ht="18" customHeight="1">
      <c r="A39" s="159"/>
      <c r="B39" s="161"/>
      <c r="C39" s="194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3"/>
    </row>
    <row r="40" spans="1:38" ht="18" customHeight="1" thickBot="1">
      <c r="A40" s="177"/>
      <c r="B40" s="240" t="s">
        <v>2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511" t="s">
        <v>12</v>
      </c>
      <c r="AL40" s="512"/>
    </row>
    <row r="41" spans="1:38" ht="18" customHeight="1"/>
    <row r="42" spans="1:38" ht="18" customHeight="1"/>
    <row r="43" spans="1:38" ht="18" customHeight="1"/>
    <row r="44" spans="1:38" ht="18" customHeight="1"/>
    <row r="45" spans="1:38" ht="18" customHeight="1"/>
    <row r="46" spans="1:38" ht="18" customHeight="1"/>
    <row r="47" spans="1:38" ht="18" customHeight="1"/>
    <row r="48" spans="1:38" ht="18" customHeight="1"/>
    <row r="49" ht="18" customHeight="1"/>
  </sheetData>
  <sheetProtection password="D9AA" sheet="1" objects="1" scenarios="1"/>
  <mergeCells count="20">
    <mergeCell ref="K1:U1"/>
    <mergeCell ref="K2:O2"/>
    <mergeCell ref="Q2:U2"/>
    <mergeCell ref="K3:M3"/>
    <mergeCell ref="B17:C17"/>
    <mergeCell ref="E17:F17"/>
    <mergeCell ref="G17:H17"/>
    <mergeCell ref="K17:O17"/>
    <mergeCell ref="Q17:U17"/>
    <mergeCell ref="K18:M18"/>
    <mergeCell ref="Q3:S3"/>
    <mergeCell ref="Q18:S18"/>
    <mergeCell ref="I37:W37"/>
    <mergeCell ref="AK40:AL40"/>
    <mergeCell ref="I20:J20"/>
    <mergeCell ref="F22:I23"/>
    <mergeCell ref="B25:I25"/>
    <mergeCell ref="E33:H33"/>
    <mergeCell ref="B31:J31"/>
    <mergeCell ref="B32:J32"/>
  </mergeCells>
  <dataValidations count="1">
    <dataValidation type="list" allowBlank="1" showInputMessage="1" showErrorMessage="1" sqref="F34">
      <formula1>$I$33:$I$35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7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/>
  <cols>
    <col min="1" max="1" width="9.140625" style="3"/>
    <col min="2" max="5" width="22.7109375" style="3" customWidth="1"/>
    <col min="6" max="16384" width="9.140625" style="3"/>
  </cols>
  <sheetData>
    <row r="1" spans="1:26" ht="18" customHeight="1">
      <c r="A1" s="182"/>
      <c r="B1" s="523" t="s">
        <v>352</v>
      </c>
      <c r="C1" s="524"/>
      <c r="D1" s="524"/>
      <c r="E1" s="525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>
      <c r="A2" s="182"/>
      <c r="B2" s="526"/>
      <c r="C2" s="527"/>
      <c r="D2" s="527"/>
      <c r="E2" s="528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ht="31.5">
      <c r="A3" s="182"/>
      <c r="B3" s="183" t="s">
        <v>103</v>
      </c>
      <c r="C3" s="179" t="s">
        <v>104</v>
      </c>
      <c r="D3" s="179" t="s">
        <v>105</v>
      </c>
      <c r="E3" s="184" t="s">
        <v>106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 spans="1:26">
      <c r="A4" s="182"/>
      <c r="B4" s="185">
        <v>100000</v>
      </c>
      <c r="C4" s="180" t="s">
        <v>107</v>
      </c>
      <c r="D4" s="180" t="s">
        <v>107</v>
      </c>
      <c r="E4" s="186" t="s">
        <v>108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6">
      <c r="A5" s="182"/>
      <c r="B5" s="185">
        <v>100078</v>
      </c>
      <c r="C5" s="180">
        <v>0</v>
      </c>
      <c r="D5" s="180" t="s">
        <v>109</v>
      </c>
      <c r="E5" s="186" t="s">
        <v>110</v>
      </c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 spans="1:26">
      <c r="A6" s="182"/>
      <c r="B6" s="185">
        <v>100155</v>
      </c>
      <c r="C6" s="180">
        <v>1</v>
      </c>
      <c r="D6" s="180" t="s">
        <v>111</v>
      </c>
      <c r="E6" s="186" t="s">
        <v>109</v>
      </c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 spans="1:26">
      <c r="A7" s="182"/>
      <c r="B7" s="185">
        <v>100233</v>
      </c>
      <c r="C7" s="180">
        <v>2</v>
      </c>
      <c r="D7" s="180" t="s">
        <v>112</v>
      </c>
      <c r="E7" s="186" t="s">
        <v>113</v>
      </c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>
      <c r="A8" s="182"/>
      <c r="B8" s="185">
        <v>100311</v>
      </c>
      <c r="C8" s="180">
        <v>3</v>
      </c>
      <c r="D8" s="180" t="s">
        <v>114</v>
      </c>
      <c r="E8" s="186" t="s">
        <v>115</v>
      </c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>
      <c r="A9" s="182"/>
      <c r="B9" s="185">
        <v>100389</v>
      </c>
      <c r="C9" s="180">
        <v>4</v>
      </c>
      <c r="D9" s="180" t="s">
        <v>116</v>
      </c>
      <c r="E9" s="186" t="s">
        <v>117</v>
      </c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1:26">
      <c r="A10" s="182"/>
      <c r="B10" s="185">
        <v>100779</v>
      </c>
      <c r="C10" s="180">
        <v>8</v>
      </c>
      <c r="D10" s="180" t="s">
        <v>118</v>
      </c>
      <c r="E10" s="186" t="s">
        <v>119</v>
      </c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1:26">
      <c r="A11" s="182"/>
      <c r="B11" s="185">
        <v>101172</v>
      </c>
      <c r="C11" s="180">
        <v>12</v>
      </c>
      <c r="D11" s="180" t="s">
        <v>120</v>
      </c>
      <c r="E11" s="186" t="s">
        <v>121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 spans="1:26">
      <c r="A12" s="182"/>
      <c r="B12" s="185">
        <v>101567</v>
      </c>
      <c r="C12" s="180">
        <v>15</v>
      </c>
      <c r="D12" s="180" t="s">
        <v>122</v>
      </c>
      <c r="E12" s="186" t="s">
        <v>123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 spans="1:26">
      <c r="A13" s="182"/>
      <c r="B13" s="185">
        <v>101965</v>
      </c>
      <c r="C13" s="180">
        <v>20</v>
      </c>
      <c r="D13" s="180" t="s">
        <v>124</v>
      </c>
      <c r="E13" s="186" t="s">
        <v>125</v>
      </c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 spans="1:26">
      <c r="A14" s="182"/>
      <c r="B14" s="185">
        <v>102366</v>
      </c>
      <c r="C14" s="180">
        <v>24</v>
      </c>
      <c r="D14" s="180" t="s">
        <v>126</v>
      </c>
      <c r="E14" s="186" t="s">
        <v>127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 spans="1:26">
      <c r="A15" s="182"/>
      <c r="B15" s="185">
        <v>102779</v>
      </c>
      <c r="C15" s="180">
        <v>28</v>
      </c>
      <c r="D15" s="180" t="s">
        <v>128</v>
      </c>
      <c r="E15" s="186" t="s">
        <v>129</v>
      </c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 spans="1:26">
      <c r="A16" s="182"/>
      <c r="B16" s="185">
        <v>103176</v>
      </c>
      <c r="C16" s="180">
        <v>32</v>
      </c>
      <c r="D16" s="180" t="s">
        <v>130</v>
      </c>
      <c r="E16" s="186" t="s">
        <v>131</v>
      </c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 spans="1:26">
      <c r="A17" s="182"/>
      <c r="B17" s="185">
        <v>103586</v>
      </c>
      <c r="C17" s="180">
        <v>36</v>
      </c>
      <c r="D17" s="180" t="s">
        <v>132</v>
      </c>
      <c r="E17" s="186" t="s">
        <v>124</v>
      </c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 spans="1:26">
      <c r="A18" s="182"/>
      <c r="B18" s="185">
        <v>103998</v>
      </c>
      <c r="C18" s="180">
        <v>40</v>
      </c>
      <c r="D18" s="180" t="s">
        <v>133</v>
      </c>
      <c r="E18" s="186" t="s">
        <v>134</v>
      </c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 spans="1:26">
      <c r="A19" s="182"/>
      <c r="B19" s="185">
        <v>104413</v>
      </c>
      <c r="C19" s="180">
        <v>44</v>
      </c>
      <c r="D19" s="180" t="s">
        <v>135</v>
      </c>
      <c r="E19" s="186" t="s">
        <v>136</v>
      </c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 spans="1:26">
      <c r="A20" s="182"/>
      <c r="B20" s="185">
        <v>104831</v>
      </c>
      <c r="C20" s="180">
        <v>48</v>
      </c>
      <c r="D20" s="180" t="s">
        <v>137</v>
      </c>
      <c r="E20" s="186" t="s">
        <v>138</v>
      </c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spans="1:26">
      <c r="A21" s="182"/>
      <c r="B21" s="185">
        <v>105252</v>
      </c>
      <c r="C21" s="180">
        <v>53</v>
      </c>
      <c r="D21" s="180" t="s">
        <v>139</v>
      </c>
      <c r="E21" s="186" t="s">
        <v>140</v>
      </c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spans="1:26">
      <c r="A22" s="182"/>
      <c r="B22" s="185">
        <v>105667</v>
      </c>
      <c r="C22" s="180">
        <v>57</v>
      </c>
      <c r="D22" s="180" t="s">
        <v>141</v>
      </c>
      <c r="E22" s="186" t="s">
        <v>142</v>
      </c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spans="1:26">
      <c r="A23" s="182"/>
      <c r="B23" s="185">
        <v>106104</v>
      </c>
      <c r="C23" s="180">
        <v>61</v>
      </c>
      <c r="D23" s="180" t="s">
        <v>143</v>
      </c>
      <c r="E23" s="186" t="s">
        <v>144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spans="1:26">
      <c r="A24" s="182"/>
      <c r="B24" s="185">
        <v>106534</v>
      </c>
      <c r="C24" s="180">
        <v>65</v>
      </c>
      <c r="D24" s="180" t="s">
        <v>145</v>
      </c>
      <c r="E24" s="186" t="s">
        <v>146</v>
      </c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spans="1:26">
      <c r="A25" s="182"/>
      <c r="B25" s="185">
        <v>106968</v>
      </c>
      <c r="C25" s="180">
        <v>70</v>
      </c>
      <c r="D25" s="180" t="s">
        <v>147</v>
      </c>
      <c r="E25" s="186" t="s">
        <v>148</v>
      </c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spans="1:26">
      <c r="A26" s="182"/>
      <c r="B26" s="185">
        <v>107142</v>
      </c>
      <c r="C26" s="180">
        <v>71</v>
      </c>
      <c r="D26" s="180" t="s">
        <v>149</v>
      </c>
      <c r="E26" s="186" t="s">
        <v>150</v>
      </c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spans="1:26">
      <c r="A27" s="182"/>
      <c r="B27" s="185">
        <v>107404</v>
      </c>
      <c r="C27" s="180">
        <v>74</v>
      </c>
      <c r="D27" s="180" t="s">
        <v>151</v>
      </c>
      <c r="E27" s="186" t="s">
        <v>133</v>
      </c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spans="1:26">
      <c r="A28" s="182"/>
      <c r="B28" s="185">
        <v>107580</v>
      </c>
      <c r="C28" s="180">
        <v>76</v>
      </c>
      <c r="D28" s="180" t="s">
        <v>152</v>
      </c>
      <c r="E28" s="186" t="s">
        <v>153</v>
      </c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spans="1:26">
      <c r="A29" s="182"/>
      <c r="B29" s="185">
        <v>107844</v>
      </c>
      <c r="C29" s="180">
        <v>78</v>
      </c>
      <c r="D29" s="180" t="s">
        <v>154</v>
      </c>
      <c r="E29" s="186" t="s">
        <v>155</v>
      </c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spans="1:26">
      <c r="A30" s="182"/>
      <c r="B30" s="185">
        <v>107932</v>
      </c>
      <c r="C30" s="180">
        <v>79</v>
      </c>
      <c r="D30" s="180" t="s">
        <v>156</v>
      </c>
      <c r="E30" s="186" t="s">
        <v>157</v>
      </c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 spans="1:26">
      <c r="A31" s="182"/>
      <c r="B31" s="185">
        <v>108021</v>
      </c>
      <c r="C31" s="180">
        <v>80</v>
      </c>
      <c r="D31" s="180" t="s">
        <v>158</v>
      </c>
      <c r="E31" s="186" t="s">
        <v>159</v>
      </c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spans="1:26">
      <c r="A32" s="182"/>
      <c r="B32" s="185">
        <v>108110</v>
      </c>
      <c r="C32" s="180">
        <v>81</v>
      </c>
      <c r="D32" s="180" t="s">
        <v>160</v>
      </c>
      <c r="E32" s="186" t="s">
        <v>161</v>
      </c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</row>
    <row r="33" spans="1:26">
      <c r="A33" s="182"/>
      <c r="B33" s="185">
        <v>108198</v>
      </c>
      <c r="C33" s="180">
        <v>82</v>
      </c>
      <c r="D33" s="180" t="s">
        <v>162</v>
      </c>
      <c r="E33" s="186" t="s">
        <v>135</v>
      </c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</row>
    <row r="34" spans="1:26">
      <c r="A34" s="182"/>
      <c r="B34" s="185">
        <v>108287</v>
      </c>
      <c r="C34" s="180">
        <v>83</v>
      </c>
      <c r="D34" s="180" t="s">
        <v>163</v>
      </c>
      <c r="E34" s="186" t="s">
        <v>164</v>
      </c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</row>
    <row r="35" spans="1:26">
      <c r="A35" s="182"/>
      <c r="B35" s="185">
        <v>108376</v>
      </c>
      <c r="C35" s="180">
        <v>84</v>
      </c>
      <c r="D35" s="180" t="s">
        <v>165</v>
      </c>
      <c r="E35" s="186" t="s">
        <v>166</v>
      </c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</row>
    <row r="36" spans="1:26">
      <c r="A36" s="182"/>
      <c r="B36" s="185">
        <v>108465</v>
      </c>
      <c r="C36" s="180">
        <v>85</v>
      </c>
      <c r="D36" s="180" t="s">
        <v>167</v>
      </c>
      <c r="E36" s="186" t="s">
        <v>168</v>
      </c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</row>
    <row r="37" spans="1:26">
      <c r="A37" s="182"/>
      <c r="B37" s="187">
        <v>108554</v>
      </c>
      <c r="C37" s="181">
        <v>86</v>
      </c>
      <c r="D37" s="181" t="s">
        <v>169</v>
      </c>
      <c r="E37" s="188" t="s">
        <v>170</v>
      </c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  <row r="38" spans="1:26">
      <c r="A38" s="182"/>
      <c r="B38" s="185">
        <v>108644</v>
      </c>
      <c r="C38" s="180">
        <v>86</v>
      </c>
      <c r="D38" s="180" t="s">
        <v>171</v>
      </c>
      <c r="E38" s="186" t="s">
        <v>172</v>
      </c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</row>
    <row r="39" spans="1:26">
      <c r="A39" s="182"/>
      <c r="B39" s="185">
        <v>108733</v>
      </c>
      <c r="C39" s="180">
        <v>87</v>
      </c>
      <c r="D39" s="180" t="s">
        <v>173</v>
      </c>
      <c r="E39" s="186" t="s">
        <v>174</v>
      </c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</row>
    <row r="40" spans="1:26">
      <c r="A40" s="182"/>
      <c r="B40" s="185">
        <v>108823</v>
      </c>
      <c r="C40" s="180">
        <v>88</v>
      </c>
      <c r="D40" s="180" t="s">
        <v>175</v>
      </c>
      <c r="E40" s="186" t="s">
        <v>176</v>
      </c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</row>
    <row r="41" spans="1:26">
      <c r="A41" s="182"/>
      <c r="B41" s="185">
        <v>108913</v>
      </c>
      <c r="C41" s="180">
        <v>89</v>
      </c>
      <c r="D41" s="180" t="s">
        <v>177</v>
      </c>
      <c r="E41" s="186" t="s">
        <v>178</v>
      </c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 spans="1:26">
      <c r="A42" s="182"/>
      <c r="B42" s="185">
        <v>109003</v>
      </c>
      <c r="C42" s="180">
        <v>90</v>
      </c>
      <c r="D42" s="180" t="s">
        <v>179</v>
      </c>
      <c r="E42" s="186" t="s">
        <v>137</v>
      </c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</row>
    <row r="43" spans="1:26">
      <c r="A43" s="182"/>
      <c r="B43" s="185">
        <v>109093</v>
      </c>
      <c r="C43" s="180">
        <v>91</v>
      </c>
      <c r="D43" s="180" t="s">
        <v>180</v>
      </c>
      <c r="E43" s="186" t="s">
        <v>181</v>
      </c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 spans="1:26">
      <c r="A44" s="182"/>
      <c r="B44" s="185">
        <v>109183</v>
      </c>
      <c r="C44" s="180">
        <v>92</v>
      </c>
      <c r="D44" s="180" t="s">
        <v>182</v>
      </c>
      <c r="E44" s="186" t="s">
        <v>183</v>
      </c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 spans="1:26">
      <c r="A45" s="182"/>
      <c r="B45" s="185">
        <v>109273</v>
      </c>
      <c r="C45" s="180">
        <v>93</v>
      </c>
      <c r="D45" s="180" t="s">
        <v>184</v>
      </c>
      <c r="E45" s="186" t="s">
        <v>185</v>
      </c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</row>
    <row r="46" spans="1:26">
      <c r="A46" s="182"/>
      <c r="B46" s="185">
        <v>109364</v>
      </c>
      <c r="C46" s="180">
        <v>94</v>
      </c>
      <c r="D46" s="180" t="s">
        <v>186</v>
      </c>
      <c r="E46" s="186" t="s">
        <v>187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</row>
    <row r="47" spans="1:26">
      <c r="A47" s="182"/>
      <c r="B47" s="185">
        <v>109454</v>
      </c>
      <c r="C47" s="180">
        <v>95</v>
      </c>
      <c r="D47" s="180" t="s">
        <v>188</v>
      </c>
      <c r="E47" s="186" t="s">
        <v>189</v>
      </c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</row>
    <row r="48" spans="1:26">
      <c r="A48" s="182"/>
      <c r="B48" s="185">
        <v>109545</v>
      </c>
      <c r="C48" s="180">
        <v>95</v>
      </c>
      <c r="D48" s="180" t="s">
        <v>190</v>
      </c>
      <c r="E48" s="186" t="s">
        <v>191</v>
      </c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</row>
    <row r="49" spans="1:26">
      <c r="A49" s="182"/>
      <c r="B49" s="185">
        <v>109636</v>
      </c>
      <c r="C49" s="180">
        <v>96</v>
      </c>
      <c r="D49" s="180" t="s">
        <v>192</v>
      </c>
      <c r="E49" s="186" t="s">
        <v>193</v>
      </c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</row>
    <row r="50" spans="1:26">
      <c r="A50" s="182"/>
      <c r="B50" s="185">
        <v>109727</v>
      </c>
      <c r="C50" s="180">
        <v>97</v>
      </c>
      <c r="D50" s="180" t="s">
        <v>194</v>
      </c>
      <c r="E50" s="186" t="s">
        <v>195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</row>
    <row r="51" spans="1:26">
      <c r="A51" s="182"/>
      <c r="B51" s="185">
        <v>109818</v>
      </c>
      <c r="C51" s="180">
        <v>98</v>
      </c>
      <c r="D51" s="180" t="s">
        <v>196</v>
      </c>
      <c r="E51" s="186" t="s">
        <v>139</v>
      </c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</row>
    <row r="52" spans="1:26">
      <c r="A52" s="182"/>
      <c r="B52" s="185">
        <v>109909</v>
      </c>
      <c r="C52" s="180">
        <v>99</v>
      </c>
      <c r="D52" s="180" t="s">
        <v>197</v>
      </c>
      <c r="E52" s="186" t="s">
        <v>198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</row>
    <row r="53" spans="1:26">
      <c r="A53" s="182"/>
      <c r="B53" s="185">
        <v>110000</v>
      </c>
      <c r="C53" s="180">
        <v>100</v>
      </c>
      <c r="D53" s="180" t="s">
        <v>199</v>
      </c>
      <c r="E53" s="186" t="s">
        <v>200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</row>
    <row r="54" spans="1:26">
      <c r="A54" s="182"/>
      <c r="B54" s="185">
        <v>110092</v>
      </c>
      <c r="C54" s="180">
        <v>101</v>
      </c>
      <c r="D54" s="180" t="s">
        <v>201</v>
      </c>
      <c r="E54" s="186" t="s">
        <v>202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</row>
    <row r="55" spans="1:26">
      <c r="A55" s="182"/>
      <c r="B55" s="185">
        <v>110193</v>
      </c>
      <c r="C55" s="180">
        <v>102</v>
      </c>
      <c r="D55" s="180" t="s">
        <v>203</v>
      </c>
      <c r="E55" s="186" t="s">
        <v>204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</row>
    <row r="56" spans="1:26">
      <c r="A56" s="182"/>
      <c r="B56" s="185">
        <v>110275</v>
      </c>
      <c r="C56" s="180">
        <v>103</v>
      </c>
      <c r="D56" s="180" t="s">
        <v>205</v>
      </c>
      <c r="E56" s="186" t="s">
        <v>206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</row>
    <row r="57" spans="1:26">
      <c r="A57" s="182"/>
      <c r="B57" s="185">
        <v>110367</v>
      </c>
      <c r="C57" s="180">
        <v>104</v>
      </c>
      <c r="D57" s="180" t="s">
        <v>207</v>
      </c>
      <c r="E57" s="186" t="s">
        <v>208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</row>
    <row r="58" spans="1:26">
      <c r="A58" s="182"/>
      <c r="B58" s="185">
        <v>110459</v>
      </c>
      <c r="C58" s="180">
        <v>105</v>
      </c>
      <c r="D58" s="180" t="s">
        <v>209</v>
      </c>
      <c r="E58" s="186" t="s">
        <v>210</v>
      </c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</row>
    <row r="59" spans="1:26">
      <c r="A59" s="182"/>
      <c r="B59" s="185">
        <v>110551</v>
      </c>
      <c r="C59" s="180">
        <v>106</v>
      </c>
      <c r="D59" s="180" t="s">
        <v>211</v>
      </c>
      <c r="E59" s="186" t="s">
        <v>212</v>
      </c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spans="1:26">
      <c r="A60" s="182"/>
      <c r="B60" s="185">
        <v>110643</v>
      </c>
      <c r="C60" s="180">
        <v>106</v>
      </c>
      <c r="D60" s="180" t="s">
        <v>213</v>
      </c>
      <c r="E60" s="186" t="s">
        <v>141</v>
      </c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</row>
    <row r="61" spans="1:26">
      <c r="A61" s="182"/>
      <c r="B61" s="185">
        <v>110736</v>
      </c>
      <c r="C61" s="180">
        <v>107</v>
      </c>
      <c r="D61" s="180" t="s">
        <v>214</v>
      </c>
      <c r="E61" s="186" t="s">
        <v>215</v>
      </c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</row>
    <row r="62" spans="1:26">
      <c r="A62" s="182"/>
      <c r="B62" s="185">
        <v>110828</v>
      </c>
      <c r="C62" s="180">
        <v>108</v>
      </c>
      <c r="D62" s="180" t="s">
        <v>216</v>
      </c>
      <c r="E62" s="186" t="s">
        <v>217</v>
      </c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</row>
    <row r="63" spans="1:26">
      <c r="A63" s="182"/>
      <c r="B63" s="185">
        <v>110921</v>
      </c>
      <c r="C63" s="180">
        <v>109</v>
      </c>
      <c r="D63" s="180" t="s">
        <v>218</v>
      </c>
      <c r="E63" s="186" t="s">
        <v>219</v>
      </c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spans="1:26">
      <c r="A64" s="182"/>
      <c r="B64" s="185">
        <v>111014</v>
      </c>
      <c r="C64" s="180">
        <v>110</v>
      </c>
      <c r="D64" s="180" t="s">
        <v>220</v>
      </c>
      <c r="E64" s="186" t="s">
        <v>221</v>
      </c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</row>
    <row r="65" spans="1:26">
      <c r="A65" s="182"/>
      <c r="B65" s="185">
        <v>111106</v>
      </c>
      <c r="C65" s="180">
        <v>111</v>
      </c>
      <c r="D65" s="180" t="s">
        <v>222</v>
      </c>
      <c r="E65" s="186" t="s">
        <v>223</v>
      </c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</row>
    <row r="66" spans="1:26">
      <c r="A66" s="182"/>
      <c r="B66" s="185">
        <v>111200</v>
      </c>
      <c r="C66" s="180">
        <v>112</v>
      </c>
      <c r="D66" s="180" t="s">
        <v>224</v>
      </c>
      <c r="E66" s="186" t="s">
        <v>225</v>
      </c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</row>
    <row r="67" spans="1:26">
      <c r="A67" s="182"/>
      <c r="B67" s="185">
        <v>111293</v>
      </c>
      <c r="C67" s="180">
        <v>113</v>
      </c>
      <c r="D67" s="180" t="s">
        <v>226</v>
      </c>
      <c r="E67" s="186" t="s">
        <v>227</v>
      </c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</row>
    <row r="68" spans="1:26">
      <c r="A68" s="182"/>
      <c r="B68" s="185">
        <v>111386</v>
      </c>
      <c r="C68" s="180">
        <v>114</v>
      </c>
      <c r="D68" s="180" t="s">
        <v>228</v>
      </c>
      <c r="E68" s="186" t="s">
        <v>229</v>
      </c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</row>
    <row r="69" spans="1:26">
      <c r="A69" s="182"/>
      <c r="B69" s="185">
        <v>111480</v>
      </c>
      <c r="C69" s="180">
        <v>115</v>
      </c>
      <c r="D69" s="180" t="s">
        <v>230</v>
      </c>
      <c r="E69" s="186" t="s">
        <v>143</v>
      </c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</row>
    <row r="70" spans="1:26">
      <c r="A70" s="182"/>
      <c r="B70" s="185">
        <v>111573</v>
      </c>
      <c r="C70" s="180">
        <v>116</v>
      </c>
      <c r="D70" s="180" t="s">
        <v>231</v>
      </c>
      <c r="E70" s="186" t="s">
        <v>232</v>
      </c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</row>
    <row r="71" spans="1:26">
      <c r="A71" s="182"/>
      <c r="B71" s="185">
        <v>111667</v>
      </c>
      <c r="C71" s="180">
        <v>117</v>
      </c>
      <c r="D71" s="180" t="s">
        <v>233</v>
      </c>
      <c r="E71" s="186" t="s">
        <v>234</v>
      </c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</row>
    <row r="72" spans="1:26">
      <c r="A72" s="182"/>
      <c r="B72" s="185">
        <v>111761</v>
      </c>
      <c r="C72" s="180">
        <v>118</v>
      </c>
      <c r="D72" s="180" t="s">
        <v>235</v>
      </c>
      <c r="E72" s="186" t="s">
        <v>236</v>
      </c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</row>
    <row r="73" spans="1:26">
      <c r="A73" s="182"/>
      <c r="B73" s="185">
        <v>111855</v>
      </c>
      <c r="C73" s="180">
        <v>119</v>
      </c>
      <c r="D73" s="180" t="s">
        <v>237</v>
      </c>
      <c r="E73" s="186" t="s">
        <v>238</v>
      </c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 spans="1:26" ht="15.75" thickBot="1">
      <c r="A74" s="182"/>
      <c r="B74" s="189">
        <v>112898</v>
      </c>
      <c r="C74" s="190">
        <v>129</v>
      </c>
      <c r="D74" s="190" t="s">
        <v>239</v>
      </c>
      <c r="E74" s="191" t="s">
        <v>240</v>
      </c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</row>
    <row r="75" spans="1:26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</row>
    <row r="76" spans="1:26">
      <c r="A76" s="239" t="s">
        <v>2</v>
      </c>
      <c r="B76" s="182"/>
      <c r="C76" s="182"/>
      <c r="D76" s="182"/>
      <c r="E76" s="239" t="s">
        <v>12</v>
      </c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</row>
    <row r="77" spans="1:26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</row>
    <row r="78" spans="1:26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</row>
    <row r="79" spans="1:26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</row>
  </sheetData>
  <sheetProtection password="D9AA" sheet="1" objects="1" scenarios="1"/>
  <mergeCells count="1">
    <mergeCell ref="B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48"/>
  <sheetViews>
    <sheetView workbookViewId="0"/>
  </sheetViews>
  <sheetFormatPr defaultRowHeight="18"/>
  <cols>
    <col min="1" max="2" width="10.7109375" style="208" customWidth="1"/>
    <col min="3" max="3" width="12.28515625" style="208" bestFit="1" customWidth="1"/>
    <col min="4" max="4" width="10.5703125" style="208" customWidth="1"/>
    <col min="5" max="5" width="19.7109375" style="208" customWidth="1"/>
    <col min="6" max="6" width="12.7109375" style="208" customWidth="1"/>
    <col min="7" max="7" width="6.7109375" style="217" customWidth="1"/>
    <col min="8" max="8" width="6.7109375" style="208" customWidth="1"/>
    <col min="9" max="18" width="11.28515625" style="208" customWidth="1"/>
    <col min="19" max="24" width="9.140625" style="208"/>
    <col min="25" max="25" width="10.85546875" style="208" customWidth="1"/>
    <col min="26" max="16384" width="9.140625" style="208"/>
  </cols>
  <sheetData>
    <row r="1" spans="1:26">
      <c r="A1" s="205"/>
      <c r="B1" s="206"/>
      <c r="C1" s="206"/>
      <c r="D1" s="206"/>
      <c r="E1" s="206"/>
      <c r="F1" s="206"/>
      <c r="G1" s="555" t="s">
        <v>361</v>
      </c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206"/>
      <c r="T1" s="206"/>
      <c r="U1" s="206"/>
      <c r="V1" s="206"/>
      <c r="W1" s="206"/>
      <c r="X1" s="206"/>
      <c r="Y1" s="206"/>
      <c r="Z1" s="207"/>
    </row>
    <row r="2" spans="1:26">
      <c r="A2" s="209"/>
      <c r="B2" s="210"/>
      <c r="C2" s="210"/>
      <c r="D2" s="210"/>
      <c r="E2" s="211"/>
      <c r="F2" s="211"/>
      <c r="G2" s="556" t="s">
        <v>362</v>
      </c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8"/>
      <c r="S2" s="211"/>
      <c r="T2" s="211"/>
      <c r="U2" s="211"/>
      <c r="V2" s="211"/>
      <c r="W2" s="211"/>
      <c r="X2" s="211"/>
      <c r="Y2" s="211"/>
      <c r="Z2" s="212"/>
    </row>
    <row r="3" spans="1:26">
      <c r="A3" s="209"/>
      <c r="B3" s="210"/>
      <c r="C3" s="210"/>
      <c r="D3" s="210"/>
      <c r="E3" s="211"/>
      <c r="F3" s="211"/>
      <c r="G3" s="559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1"/>
      <c r="S3" s="211"/>
      <c r="T3" s="211"/>
      <c r="U3" s="211"/>
      <c r="V3" s="211"/>
      <c r="W3" s="211"/>
      <c r="X3" s="211"/>
      <c r="Y3" s="211"/>
      <c r="Z3" s="212"/>
    </row>
    <row r="4" spans="1:26">
      <c r="A4" s="213"/>
      <c r="B4" s="211"/>
      <c r="C4" s="211"/>
      <c r="D4" s="211"/>
      <c r="E4" s="211"/>
      <c r="F4" s="211"/>
      <c r="G4" s="562" t="s">
        <v>363</v>
      </c>
      <c r="H4" s="562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211"/>
      <c r="T4" s="211"/>
      <c r="U4" s="211"/>
      <c r="V4" s="211"/>
      <c r="W4" s="211"/>
      <c r="X4" s="211"/>
      <c r="Y4" s="211"/>
      <c r="Z4" s="212"/>
    </row>
    <row r="5" spans="1:26" s="217" customFormat="1">
      <c r="A5" s="214"/>
      <c r="B5" s="215"/>
      <c r="C5" s="215"/>
      <c r="D5" s="215"/>
      <c r="E5" s="211"/>
      <c r="F5" s="215"/>
      <c r="G5" s="564" t="s">
        <v>364</v>
      </c>
      <c r="H5" s="565"/>
      <c r="I5" s="564" t="s">
        <v>365</v>
      </c>
      <c r="J5" s="570"/>
      <c r="K5" s="570"/>
      <c r="L5" s="570"/>
      <c r="M5" s="570"/>
      <c r="N5" s="570"/>
      <c r="O5" s="570"/>
      <c r="P5" s="570"/>
      <c r="Q5" s="570"/>
      <c r="R5" s="565"/>
      <c r="S5" s="215"/>
      <c r="T5" s="215"/>
      <c r="U5" s="215"/>
      <c r="V5" s="215"/>
      <c r="W5" s="215"/>
      <c r="X5" s="215"/>
      <c r="Y5" s="215"/>
      <c r="Z5" s="216"/>
    </row>
    <row r="6" spans="1:26">
      <c r="A6" s="553" t="s">
        <v>366</v>
      </c>
      <c r="B6" s="554"/>
      <c r="C6" s="554"/>
      <c r="D6" s="211"/>
      <c r="E6" s="551" t="s">
        <v>367</v>
      </c>
      <c r="F6" s="552"/>
      <c r="G6" s="566"/>
      <c r="H6" s="567"/>
      <c r="I6" s="568"/>
      <c r="J6" s="571"/>
      <c r="K6" s="571"/>
      <c r="L6" s="571"/>
      <c r="M6" s="571"/>
      <c r="N6" s="571"/>
      <c r="O6" s="571"/>
      <c r="P6" s="571"/>
      <c r="Q6" s="571"/>
      <c r="R6" s="569"/>
      <c r="S6" s="211"/>
      <c r="T6" s="211"/>
      <c r="U6" s="211"/>
      <c r="V6" s="211"/>
      <c r="W6" s="211"/>
      <c r="X6" s="211"/>
      <c r="Y6" s="211"/>
      <c r="Z6" s="212"/>
    </row>
    <row r="7" spans="1:26">
      <c r="A7" s="553"/>
      <c r="B7" s="554"/>
      <c r="C7" s="554"/>
      <c r="D7" s="210"/>
      <c r="E7" s="218">
        <v>0.2</v>
      </c>
      <c r="F7" s="215" t="s">
        <v>368</v>
      </c>
      <c r="G7" s="568"/>
      <c r="H7" s="569"/>
      <c r="I7" s="219">
        <v>1</v>
      </c>
      <c r="J7" s="220">
        <v>2</v>
      </c>
      <c r="K7" s="220">
        <v>3</v>
      </c>
      <c r="L7" s="221">
        <v>4</v>
      </c>
      <c r="M7" s="220">
        <v>5</v>
      </c>
      <c r="N7" s="220">
        <v>6</v>
      </c>
      <c r="O7" s="220">
        <v>7</v>
      </c>
      <c r="P7" s="220">
        <v>8</v>
      </c>
      <c r="Q7" s="220">
        <v>9</v>
      </c>
      <c r="R7" s="220">
        <v>10</v>
      </c>
      <c r="S7" s="211"/>
      <c r="T7" s="211"/>
      <c r="U7" s="211"/>
      <c r="V7" s="211"/>
      <c r="W7" s="211"/>
      <c r="X7" s="211"/>
      <c r="Y7" s="211"/>
      <c r="Z7" s="212"/>
    </row>
    <row r="8" spans="1:26">
      <c r="A8" s="544">
        <f>VLOOKUP($E$19,$D$8:$E$17,2)</f>
        <v>1000</v>
      </c>
      <c r="B8" s="545"/>
      <c r="C8" s="222" t="s">
        <v>369</v>
      </c>
      <c r="D8" s="215">
        <v>1</v>
      </c>
      <c r="E8" s="215">
        <f>VLOOKUP($E$7,$G$8:$R$32,3)</f>
        <v>250</v>
      </c>
      <c r="F8" s="215" t="s">
        <v>369</v>
      </c>
      <c r="G8" s="546">
        <v>0.01</v>
      </c>
      <c r="H8" s="547"/>
      <c r="I8" s="223">
        <v>10</v>
      </c>
      <c r="J8" s="223">
        <v>20</v>
      </c>
      <c r="K8" s="223">
        <v>30</v>
      </c>
      <c r="L8" s="224">
        <v>40</v>
      </c>
      <c r="M8" s="223">
        <v>51</v>
      </c>
      <c r="N8" s="223">
        <v>61</v>
      </c>
      <c r="O8" s="223">
        <v>71</v>
      </c>
      <c r="P8" s="223">
        <v>81</v>
      </c>
      <c r="Q8" s="223">
        <v>91</v>
      </c>
      <c r="R8" s="223">
        <v>101</v>
      </c>
      <c r="S8" s="548" t="s">
        <v>370</v>
      </c>
      <c r="T8" s="549"/>
      <c r="U8" s="549"/>
      <c r="V8" s="549"/>
      <c r="W8" s="549"/>
      <c r="X8" s="549"/>
      <c r="Y8" s="549"/>
      <c r="Z8" s="212"/>
    </row>
    <row r="9" spans="1:26">
      <c r="A9" s="213"/>
      <c r="B9" s="211"/>
      <c r="C9" s="215"/>
      <c r="D9" s="215">
        <v>2</v>
      </c>
      <c r="E9" s="215">
        <f>VLOOKUP($E$7,$G$8:$R$32,4)</f>
        <v>500</v>
      </c>
      <c r="F9" s="215" t="s">
        <v>369</v>
      </c>
      <c r="G9" s="538">
        <v>0.02</v>
      </c>
      <c r="H9" s="539"/>
      <c r="I9" s="223">
        <v>20</v>
      </c>
      <c r="J9" s="223">
        <v>41</v>
      </c>
      <c r="K9" s="223">
        <v>61</v>
      </c>
      <c r="L9" s="224">
        <v>82</v>
      </c>
      <c r="M9" s="223">
        <v>102</v>
      </c>
      <c r="N9" s="223">
        <v>122</v>
      </c>
      <c r="O9" s="223">
        <v>143</v>
      </c>
      <c r="P9" s="223">
        <v>163</v>
      </c>
      <c r="Q9" s="223">
        <v>184</v>
      </c>
      <c r="R9" s="223">
        <v>204</v>
      </c>
      <c r="S9" s="548"/>
      <c r="T9" s="549"/>
      <c r="U9" s="549"/>
      <c r="V9" s="549"/>
      <c r="W9" s="549"/>
      <c r="X9" s="549"/>
      <c r="Y9" s="549"/>
      <c r="Z9" s="212"/>
    </row>
    <row r="10" spans="1:26" ht="18" customHeight="1">
      <c r="A10" s="213"/>
      <c r="B10" s="550" t="str">
        <f>CONCATENATE("Find resultatet for ",E7*100," % lage og ",E19," liter vand")</f>
        <v>Find resultatet for 20 % lage og 4 liter vand</v>
      </c>
      <c r="C10" s="215"/>
      <c r="D10" s="215">
        <v>3</v>
      </c>
      <c r="E10" s="215">
        <f>VLOOKUP($E$7,$G$8:$R$32,5)</f>
        <v>750</v>
      </c>
      <c r="F10" s="215" t="s">
        <v>369</v>
      </c>
      <c r="G10" s="538">
        <v>0.03</v>
      </c>
      <c r="H10" s="539"/>
      <c r="I10" s="223">
        <v>31</v>
      </c>
      <c r="J10" s="223">
        <v>62</v>
      </c>
      <c r="K10" s="223">
        <v>93</v>
      </c>
      <c r="L10" s="224">
        <v>124</v>
      </c>
      <c r="M10" s="223">
        <v>155</v>
      </c>
      <c r="N10" s="223">
        <v>186</v>
      </c>
      <c r="O10" s="223">
        <v>216</v>
      </c>
      <c r="P10" s="223">
        <v>247</v>
      </c>
      <c r="Q10" s="223">
        <v>278</v>
      </c>
      <c r="R10" s="223">
        <v>309</v>
      </c>
      <c r="S10" s="548"/>
      <c r="T10" s="549"/>
      <c r="U10" s="549"/>
      <c r="V10" s="549"/>
      <c r="W10" s="549"/>
      <c r="X10" s="549"/>
      <c r="Y10" s="549"/>
      <c r="Z10" s="212"/>
    </row>
    <row r="11" spans="1:26">
      <c r="A11" s="213"/>
      <c r="B11" s="550"/>
      <c r="C11" s="215"/>
      <c r="D11" s="222">
        <v>4</v>
      </c>
      <c r="E11" s="222">
        <f>VLOOKUP($E$7,$G$8:$R$32,6)</f>
        <v>1000</v>
      </c>
      <c r="F11" s="215" t="s">
        <v>369</v>
      </c>
      <c r="G11" s="534">
        <v>0.04</v>
      </c>
      <c r="H11" s="535"/>
      <c r="I11" s="225">
        <v>42</v>
      </c>
      <c r="J11" s="225">
        <v>83</v>
      </c>
      <c r="K11" s="225">
        <v>125</v>
      </c>
      <c r="L11" s="224">
        <v>167</v>
      </c>
      <c r="M11" s="225">
        <v>208</v>
      </c>
      <c r="N11" s="225">
        <v>250</v>
      </c>
      <c r="O11" s="225">
        <v>292</v>
      </c>
      <c r="P11" s="225">
        <v>333</v>
      </c>
      <c r="Q11" s="225">
        <v>375</v>
      </c>
      <c r="R11" s="225">
        <v>417</v>
      </c>
      <c r="S11" s="211"/>
      <c r="T11" s="211"/>
      <c r="U11" s="211"/>
      <c r="V11" s="211"/>
      <c r="W11" s="211"/>
      <c r="X11" s="211"/>
      <c r="Y11" s="211"/>
      <c r="Z11" s="212"/>
    </row>
    <row r="12" spans="1:26">
      <c r="A12" s="213"/>
      <c r="B12" s="550"/>
      <c r="C12" s="215"/>
      <c r="D12" s="215">
        <v>5</v>
      </c>
      <c r="E12" s="215">
        <f>VLOOKUP($E$7,$G$8:$R$32,7)</f>
        <v>1250</v>
      </c>
      <c r="F12" s="215" t="s">
        <v>369</v>
      </c>
      <c r="G12" s="534">
        <v>0.05</v>
      </c>
      <c r="H12" s="535"/>
      <c r="I12" s="225">
        <v>53</v>
      </c>
      <c r="J12" s="225">
        <v>105</v>
      </c>
      <c r="K12" s="225">
        <v>158</v>
      </c>
      <c r="L12" s="224">
        <v>211</v>
      </c>
      <c r="M12" s="225">
        <v>263</v>
      </c>
      <c r="N12" s="225">
        <v>316</v>
      </c>
      <c r="O12" s="225">
        <v>368</v>
      </c>
      <c r="P12" s="225">
        <v>421</v>
      </c>
      <c r="Q12" s="225">
        <v>474</v>
      </c>
      <c r="R12" s="225">
        <v>526</v>
      </c>
      <c r="S12" s="211"/>
      <c r="T12" s="211"/>
      <c r="U12" s="211"/>
      <c r="V12" s="211"/>
      <c r="W12" s="211"/>
      <c r="X12" s="211"/>
      <c r="Y12" s="211"/>
      <c r="Z12" s="212"/>
    </row>
    <row r="13" spans="1:26">
      <c r="A13" s="213"/>
      <c r="B13" s="550"/>
      <c r="C13" s="215"/>
      <c r="D13" s="215">
        <v>6</v>
      </c>
      <c r="E13" s="215">
        <f>VLOOKUP($E$7,$G$8:$R$32,8)</f>
        <v>1500</v>
      </c>
      <c r="F13" s="215" t="s">
        <v>369</v>
      </c>
      <c r="G13" s="534">
        <v>0.06</v>
      </c>
      <c r="H13" s="535"/>
      <c r="I13" s="225">
        <v>64</v>
      </c>
      <c r="J13" s="225">
        <v>128</v>
      </c>
      <c r="K13" s="225">
        <v>191</v>
      </c>
      <c r="L13" s="224">
        <v>255</v>
      </c>
      <c r="M13" s="225">
        <v>319</v>
      </c>
      <c r="N13" s="225">
        <v>383</v>
      </c>
      <c r="O13" s="225">
        <v>447</v>
      </c>
      <c r="P13" s="225">
        <v>511</v>
      </c>
      <c r="Q13" s="225">
        <v>574</v>
      </c>
      <c r="R13" s="225">
        <v>638</v>
      </c>
      <c r="S13" s="211"/>
      <c r="T13" s="211"/>
      <c r="U13" s="211"/>
      <c r="V13" s="211"/>
      <c r="W13" s="211"/>
      <c r="X13" s="211"/>
      <c r="Y13" s="211"/>
      <c r="Z13" s="212"/>
    </row>
    <row r="14" spans="1:26">
      <c r="A14" s="213"/>
      <c r="B14" s="550"/>
      <c r="C14" s="215"/>
      <c r="D14" s="215">
        <v>7</v>
      </c>
      <c r="E14" s="215">
        <f>VLOOKUP($E$7,$G$8:$R$32,9)</f>
        <v>1750</v>
      </c>
      <c r="F14" s="215" t="s">
        <v>369</v>
      </c>
      <c r="G14" s="534">
        <v>7.0000000000000007E-2</v>
      </c>
      <c r="H14" s="535"/>
      <c r="I14" s="225">
        <v>75</v>
      </c>
      <c r="J14" s="225">
        <v>151</v>
      </c>
      <c r="K14" s="225">
        <v>226</v>
      </c>
      <c r="L14" s="224">
        <v>301</v>
      </c>
      <c r="M14" s="225">
        <v>376</v>
      </c>
      <c r="N14" s="225">
        <v>452</v>
      </c>
      <c r="O14" s="225">
        <v>527</v>
      </c>
      <c r="P14" s="225">
        <v>602</v>
      </c>
      <c r="Q14" s="225">
        <v>677</v>
      </c>
      <c r="R14" s="225">
        <v>753</v>
      </c>
      <c r="S14" s="211"/>
      <c r="T14" s="211"/>
      <c r="U14" s="211"/>
      <c r="V14" s="211"/>
      <c r="W14" s="211"/>
      <c r="X14" s="211"/>
      <c r="Y14" s="211"/>
      <c r="Z14" s="212"/>
    </row>
    <row r="15" spans="1:26">
      <c r="A15" s="213"/>
      <c r="B15" s="550"/>
      <c r="C15" s="215"/>
      <c r="D15" s="215">
        <v>8</v>
      </c>
      <c r="E15" s="215">
        <f>VLOOKUP($E$7,$G$8:$R$32,10)</f>
        <v>2000</v>
      </c>
      <c r="F15" s="215" t="s">
        <v>369</v>
      </c>
      <c r="G15" s="534">
        <v>0.08</v>
      </c>
      <c r="H15" s="535"/>
      <c r="I15" s="225">
        <v>87</v>
      </c>
      <c r="J15" s="225">
        <v>174</v>
      </c>
      <c r="K15" s="225">
        <v>261</v>
      </c>
      <c r="L15" s="224">
        <v>348</v>
      </c>
      <c r="M15" s="225">
        <v>435</v>
      </c>
      <c r="N15" s="225">
        <v>522</v>
      </c>
      <c r="O15" s="225">
        <v>609</v>
      </c>
      <c r="P15" s="225">
        <v>696</v>
      </c>
      <c r="Q15" s="225">
        <v>783</v>
      </c>
      <c r="R15" s="225">
        <v>870</v>
      </c>
      <c r="S15" s="211"/>
      <c r="T15" s="211"/>
      <c r="U15" s="211"/>
      <c r="V15" s="211"/>
      <c r="W15" s="211"/>
      <c r="X15" s="211"/>
      <c r="Y15" s="211"/>
      <c r="Z15" s="212"/>
    </row>
    <row r="16" spans="1:26">
      <c r="A16" s="213"/>
      <c r="B16" s="550"/>
      <c r="C16" s="215"/>
      <c r="D16" s="215">
        <v>9</v>
      </c>
      <c r="E16" s="215">
        <f>VLOOKUP($E$7,$G$8:$R$32,11)</f>
        <v>2250</v>
      </c>
      <c r="F16" s="215" t="s">
        <v>369</v>
      </c>
      <c r="G16" s="534">
        <v>0.09</v>
      </c>
      <c r="H16" s="535"/>
      <c r="I16" s="225">
        <v>99</v>
      </c>
      <c r="J16" s="225">
        <v>198</v>
      </c>
      <c r="K16" s="225">
        <v>297</v>
      </c>
      <c r="L16" s="224">
        <v>396</v>
      </c>
      <c r="M16" s="225">
        <v>495</v>
      </c>
      <c r="N16" s="225">
        <v>593</v>
      </c>
      <c r="O16" s="225">
        <v>692</v>
      </c>
      <c r="P16" s="225">
        <v>791</v>
      </c>
      <c r="Q16" s="225">
        <v>890</v>
      </c>
      <c r="R16" s="225">
        <v>989</v>
      </c>
      <c r="S16" s="211"/>
      <c r="T16" s="211"/>
      <c r="U16" s="211"/>
      <c r="V16" s="211"/>
      <c r="W16" s="211"/>
      <c r="X16" s="211"/>
      <c r="Y16" s="211"/>
      <c r="Z16" s="212"/>
    </row>
    <row r="17" spans="1:26">
      <c r="A17" s="213"/>
      <c r="B17" s="550"/>
      <c r="C17" s="215"/>
      <c r="D17" s="215">
        <v>10</v>
      </c>
      <c r="E17" s="215">
        <f>VLOOKUP($E$7,$G$8:$R$32,12)</f>
        <v>2500</v>
      </c>
      <c r="F17" s="215" t="s">
        <v>369</v>
      </c>
      <c r="G17" s="538">
        <v>0.1</v>
      </c>
      <c r="H17" s="539"/>
      <c r="I17" s="223">
        <v>111</v>
      </c>
      <c r="J17" s="223">
        <v>222</v>
      </c>
      <c r="K17" s="223">
        <v>333</v>
      </c>
      <c r="L17" s="224">
        <v>444</v>
      </c>
      <c r="M17" s="223">
        <v>556</v>
      </c>
      <c r="N17" s="223">
        <v>667</v>
      </c>
      <c r="O17" s="223">
        <v>778</v>
      </c>
      <c r="P17" s="223">
        <v>889</v>
      </c>
      <c r="Q17" s="223">
        <v>1000</v>
      </c>
      <c r="R17" s="223">
        <v>1111</v>
      </c>
      <c r="S17" s="540" t="s">
        <v>371</v>
      </c>
      <c r="T17" s="541"/>
      <c r="U17" s="541"/>
      <c r="V17" s="541"/>
      <c r="W17" s="541"/>
      <c r="X17" s="541"/>
      <c r="Y17" s="541"/>
      <c r="Z17" s="212"/>
    </row>
    <row r="18" spans="1:26">
      <c r="A18" s="213"/>
      <c r="B18" s="550"/>
      <c r="C18" s="211"/>
      <c r="D18" s="551" t="s">
        <v>372</v>
      </c>
      <c r="E18" s="551"/>
      <c r="F18" s="552"/>
      <c r="G18" s="538">
        <v>0.11</v>
      </c>
      <c r="H18" s="539"/>
      <c r="I18" s="223">
        <v>124</v>
      </c>
      <c r="J18" s="223">
        <v>247</v>
      </c>
      <c r="K18" s="223">
        <v>371</v>
      </c>
      <c r="L18" s="224">
        <v>494</v>
      </c>
      <c r="M18" s="223">
        <v>618</v>
      </c>
      <c r="N18" s="223">
        <v>742</v>
      </c>
      <c r="O18" s="223">
        <v>865</v>
      </c>
      <c r="P18" s="223">
        <v>989</v>
      </c>
      <c r="Q18" s="223">
        <v>1112</v>
      </c>
      <c r="R18" s="223">
        <v>1236</v>
      </c>
      <c r="S18" s="540"/>
      <c r="T18" s="541"/>
      <c r="U18" s="541"/>
      <c r="V18" s="541"/>
      <c r="W18" s="541"/>
      <c r="X18" s="541"/>
      <c r="Y18" s="541"/>
      <c r="Z18" s="212"/>
    </row>
    <row r="19" spans="1:26">
      <c r="A19" s="213"/>
      <c r="B19" s="550"/>
      <c r="C19" s="210"/>
      <c r="D19" s="210"/>
      <c r="E19" s="226">
        <v>4</v>
      </c>
      <c r="F19" s="215" t="s">
        <v>373</v>
      </c>
      <c r="G19" s="538">
        <v>0.12</v>
      </c>
      <c r="H19" s="539"/>
      <c r="I19" s="223">
        <v>136</v>
      </c>
      <c r="J19" s="223">
        <v>273</v>
      </c>
      <c r="K19" s="223">
        <v>409</v>
      </c>
      <c r="L19" s="224">
        <v>545</v>
      </c>
      <c r="M19" s="223">
        <v>682</v>
      </c>
      <c r="N19" s="223">
        <v>818</v>
      </c>
      <c r="O19" s="223">
        <v>955</v>
      </c>
      <c r="P19" s="223">
        <v>1091</v>
      </c>
      <c r="Q19" s="223">
        <v>1227</v>
      </c>
      <c r="R19" s="223">
        <v>1364</v>
      </c>
      <c r="S19" s="540"/>
      <c r="T19" s="541"/>
      <c r="U19" s="541"/>
      <c r="V19" s="541"/>
      <c r="W19" s="541"/>
      <c r="X19" s="541"/>
      <c r="Y19" s="541"/>
      <c r="Z19" s="212"/>
    </row>
    <row r="20" spans="1:26">
      <c r="A20" s="213"/>
      <c r="B20" s="550"/>
      <c r="C20" s="211"/>
      <c r="D20" s="211"/>
      <c r="E20" s="215">
        <f>HLOOKUP($E$19,$I$7:$R$32,2)</f>
        <v>40</v>
      </c>
      <c r="F20" s="215" t="s">
        <v>369</v>
      </c>
      <c r="G20" s="538">
        <v>0.13</v>
      </c>
      <c r="H20" s="539"/>
      <c r="I20" s="223">
        <v>149</v>
      </c>
      <c r="J20" s="223">
        <v>299</v>
      </c>
      <c r="K20" s="223">
        <v>448</v>
      </c>
      <c r="L20" s="224">
        <v>598</v>
      </c>
      <c r="M20" s="223">
        <v>747</v>
      </c>
      <c r="N20" s="223">
        <v>897</v>
      </c>
      <c r="O20" s="223">
        <v>1046</v>
      </c>
      <c r="P20" s="223">
        <v>1195</v>
      </c>
      <c r="Q20" s="223">
        <v>1345</v>
      </c>
      <c r="R20" s="223">
        <v>1494</v>
      </c>
      <c r="S20" s="540"/>
      <c r="T20" s="541"/>
      <c r="U20" s="541"/>
      <c r="V20" s="541"/>
      <c r="W20" s="541"/>
      <c r="X20" s="541"/>
      <c r="Y20" s="541"/>
      <c r="Z20" s="212"/>
    </row>
    <row r="21" spans="1:26">
      <c r="A21" s="213"/>
      <c r="B21" s="550"/>
      <c r="C21" s="211"/>
      <c r="D21" s="211"/>
      <c r="E21" s="215">
        <f>HLOOKUP($E$19,$I$7:$R$32,3)</f>
        <v>82</v>
      </c>
      <c r="F21" s="215" t="s">
        <v>369</v>
      </c>
      <c r="G21" s="538">
        <v>0.14000000000000001</v>
      </c>
      <c r="H21" s="539"/>
      <c r="I21" s="223">
        <v>163</v>
      </c>
      <c r="J21" s="223">
        <v>326</v>
      </c>
      <c r="K21" s="223">
        <v>488</v>
      </c>
      <c r="L21" s="224">
        <v>651</v>
      </c>
      <c r="M21" s="223">
        <v>814</v>
      </c>
      <c r="N21" s="223">
        <v>977</v>
      </c>
      <c r="O21" s="223">
        <v>1140</v>
      </c>
      <c r="P21" s="223">
        <v>1302</v>
      </c>
      <c r="Q21" s="223">
        <v>1465</v>
      </c>
      <c r="R21" s="223">
        <v>1628</v>
      </c>
      <c r="S21" s="540"/>
      <c r="T21" s="541"/>
      <c r="U21" s="541"/>
      <c r="V21" s="541"/>
      <c r="W21" s="541"/>
      <c r="X21" s="541"/>
      <c r="Y21" s="541"/>
      <c r="Z21" s="212"/>
    </row>
    <row r="22" spans="1:26">
      <c r="A22" s="213"/>
      <c r="B22" s="550"/>
      <c r="C22" s="211"/>
      <c r="D22" s="211"/>
      <c r="E22" s="215">
        <f>HLOOKUP($E$19,$I$7:$R$32,4)</f>
        <v>124</v>
      </c>
      <c r="F22" s="215" t="s">
        <v>369</v>
      </c>
      <c r="G22" s="538">
        <v>0.15</v>
      </c>
      <c r="H22" s="539"/>
      <c r="I22" s="223">
        <v>176</v>
      </c>
      <c r="J22" s="223">
        <v>353</v>
      </c>
      <c r="K22" s="223">
        <v>529</v>
      </c>
      <c r="L22" s="224">
        <v>706</v>
      </c>
      <c r="M22" s="223">
        <v>882</v>
      </c>
      <c r="N22" s="223">
        <v>1059</v>
      </c>
      <c r="O22" s="223">
        <v>1235</v>
      </c>
      <c r="P22" s="223">
        <v>1412</v>
      </c>
      <c r="Q22" s="223">
        <v>1588</v>
      </c>
      <c r="R22" s="223">
        <v>1765</v>
      </c>
      <c r="S22" s="540"/>
      <c r="T22" s="541"/>
      <c r="U22" s="541"/>
      <c r="V22" s="541"/>
      <c r="W22" s="541"/>
      <c r="X22" s="541"/>
      <c r="Y22" s="541"/>
      <c r="Z22" s="212"/>
    </row>
    <row r="23" spans="1:26">
      <c r="A23" s="213"/>
      <c r="B23" s="550"/>
      <c r="C23" s="211"/>
      <c r="D23" s="211"/>
      <c r="E23" s="215">
        <f>HLOOKUP($E$19,$I$7:$R$32,5)</f>
        <v>167</v>
      </c>
      <c r="F23" s="215" t="s">
        <v>369</v>
      </c>
      <c r="G23" s="538">
        <v>0.16</v>
      </c>
      <c r="H23" s="539"/>
      <c r="I23" s="223">
        <v>190</v>
      </c>
      <c r="J23" s="223">
        <v>381</v>
      </c>
      <c r="K23" s="223">
        <v>571</v>
      </c>
      <c r="L23" s="224">
        <v>762</v>
      </c>
      <c r="M23" s="223">
        <v>952</v>
      </c>
      <c r="N23" s="223">
        <v>1143</v>
      </c>
      <c r="O23" s="223">
        <v>1333</v>
      </c>
      <c r="P23" s="223">
        <v>1524</v>
      </c>
      <c r="Q23" s="223">
        <v>1714</v>
      </c>
      <c r="R23" s="223">
        <v>1905</v>
      </c>
      <c r="S23" s="540"/>
      <c r="T23" s="541"/>
      <c r="U23" s="541"/>
      <c r="V23" s="541"/>
      <c r="W23" s="541"/>
      <c r="X23" s="541"/>
      <c r="Y23" s="541"/>
      <c r="Z23" s="212"/>
    </row>
    <row r="24" spans="1:26">
      <c r="A24" s="213"/>
      <c r="B24" s="550"/>
      <c r="C24" s="211"/>
      <c r="D24" s="211"/>
      <c r="E24" s="215">
        <f>HLOOKUP($E$19,$I$7:$R$32,6)</f>
        <v>211</v>
      </c>
      <c r="F24" s="215" t="s">
        <v>369</v>
      </c>
      <c r="G24" s="534">
        <v>0.17</v>
      </c>
      <c r="H24" s="535"/>
      <c r="I24" s="225">
        <v>205</v>
      </c>
      <c r="J24" s="225">
        <v>410</v>
      </c>
      <c r="K24" s="225">
        <v>614</v>
      </c>
      <c r="L24" s="224">
        <v>819</v>
      </c>
      <c r="M24" s="225">
        <v>1024</v>
      </c>
      <c r="N24" s="225">
        <v>1229</v>
      </c>
      <c r="O24" s="225">
        <v>1434</v>
      </c>
      <c r="P24" s="225">
        <v>1639</v>
      </c>
      <c r="Q24" s="225">
        <v>1843</v>
      </c>
      <c r="R24" s="225">
        <v>2048</v>
      </c>
      <c r="S24" s="211"/>
      <c r="T24" s="211"/>
      <c r="U24" s="211"/>
      <c r="V24" s="211"/>
      <c r="W24" s="211"/>
      <c r="X24" s="211"/>
      <c r="Y24" s="211"/>
      <c r="Z24" s="212"/>
    </row>
    <row r="25" spans="1:26">
      <c r="A25" s="213"/>
      <c r="B25" s="550"/>
      <c r="C25" s="211"/>
      <c r="D25" s="211"/>
      <c r="E25" s="215">
        <f>HLOOKUP($E$19,$I$7:$R$32,7)</f>
        <v>255</v>
      </c>
      <c r="F25" s="215" t="s">
        <v>369</v>
      </c>
      <c r="G25" s="534">
        <v>0.18</v>
      </c>
      <c r="H25" s="535"/>
      <c r="I25" s="225">
        <v>220</v>
      </c>
      <c r="J25" s="225">
        <v>439</v>
      </c>
      <c r="K25" s="225">
        <v>659</v>
      </c>
      <c r="L25" s="224">
        <v>878</v>
      </c>
      <c r="M25" s="225">
        <v>1098</v>
      </c>
      <c r="N25" s="225">
        <v>1317</v>
      </c>
      <c r="O25" s="225">
        <v>1537</v>
      </c>
      <c r="P25" s="225">
        <v>1756</v>
      </c>
      <c r="Q25" s="225">
        <v>1976</v>
      </c>
      <c r="R25" s="225">
        <v>2195</v>
      </c>
      <c r="S25" s="211"/>
      <c r="T25" s="211"/>
      <c r="U25" s="211"/>
      <c r="V25" s="211"/>
      <c r="W25" s="211"/>
      <c r="X25" s="211"/>
      <c r="Y25" s="211"/>
      <c r="Z25" s="212"/>
    </row>
    <row r="26" spans="1:26">
      <c r="A26" s="213"/>
      <c r="B26" s="550"/>
      <c r="C26" s="211"/>
      <c r="D26" s="211"/>
      <c r="E26" s="215">
        <f>HLOOKUP($E$19,$I$7:$R$32,8)</f>
        <v>301</v>
      </c>
      <c r="F26" s="215" t="s">
        <v>369</v>
      </c>
      <c r="G26" s="534">
        <v>0.19</v>
      </c>
      <c r="H26" s="535"/>
      <c r="I26" s="225">
        <v>235</v>
      </c>
      <c r="J26" s="225">
        <v>469</v>
      </c>
      <c r="K26" s="225">
        <v>704</v>
      </c>
      <c r="L26" s="224">
        <v>938</v>
      </c>
      <c r="M26" s="225">
        <v>1173</v>
      </c>
      <c r="N26" s="225">
        <v>1407</v>
      </c>
      <c r="O26" s="225">
        <v>1642</v>
      </c>
      <c r="P26" s="225">
        <v>1877</v>
      </c>
      <c r="Q26" s="225">
        <v>2111</v>
      </c>
      <c r="R26" s="225">
        <v>2346</v>
      </c>
      <c r="S26" s="211"/>
      <c r="T26" s="211"/>
      <c r="U26" s="211"/>
      <c r="V26" s="211"/>
      <c r="W26" s="211"/>
      <c r="X26" s="211"/>
      <c r="Y26" s="211"/>
      <c r="Z26" s="212"/>
    </row>
    <row r="27" spans="1:26">
      <c r="A27" s="213"/>
      <c r="B27" s="550"/>
      <c r="C27" s="211"/>
      <c r="D27" s="211"/>
      <c r="E27" s="215">
        <f>HLOOKUP($E$19,$I$7:$R$32,9)</f>
        <v>348</v>
      </c>
      <c r="F27" s="215" t="s">
        <v>369</v>
      </c>
      <c r="G27" s="542">
        <v>0.2</v>
      </c>
      <c r="H27" s="543"/>
      <c r="I27" s="224">
        <v>250</v>
      </c>
      <c r="J27" s="224">
        <v>500</v>
      </c>
      <c r="K27" s="224">
        <v>750</v>
      </c>
      <c r="L27" s="224">
        <v>1000</v>
      </c>
      <c r="M27" s="223">
        <v>1250</v>
      </c>
      <c r="N27" s="223">
        <v>1500</v>
      </c>
      <c r="O27" s="223">
        <v>1750</v>
      </c>
      <c r="P27" s="223">
        <v>2000</v>
      </c>
      <c r="Q27" s="223">
        <v>2250</v>
      </c>
      <c r="R27" s="223">
        <v>2500</v>
      </c>
      <c r="S27" s="548" t="s">
        <v>374</v>
      </c>
      <c r="T27" s="549"/>
      <c r="U27" s="549"/>
      <c r="V27" s="549"/>
      <c r="W27" s="549"/>
      <c r="X27" s="549"/>
      <c r="Y27" s="549"/>
      <c r="Z27" s="212"/>
    </row>
    <row r="28" spans="1:26">
      <c r="A28" s="213"/>
      <c r="B28" s="550"/>
      <c r="C28" s="211"/>
      <c r="D28" s="211"/>
      <c r="E28" s="215">
        <f>HLOOKUP($E$19,$I$7:$R$32,10)</f>
        <v>396</v>
      </c>
      <c r="F28" s="215" t="s">
        <v>369</v>
      </c>
      <c r="G28" s="538">
        <v>0.21</v>
      </c>
      <c r="H28" s="539"/>
      <c r="I28" s="223">
        <v>266</v>
      </c>
      <c r="J28" s="223">
        <v>532</v>
      </c>
      <c r="K28" s="223">
        <v>797</v>
      </c>
      <c r="L28" s="223">
        <v>1063</v>
      </c>
      <c r="M28" s="223">
        <v>1329</v>
      </c>
      <c r="N28" s="223">
        <v>1595</v>
      </c>
      <c r="O28" s="223">
        <v>1861</v>
      </c>
      <c r="P28" s="223">
        <v>2127</v>
      </c>
      <c r="Q28" s="223">
        <v>2392</v>
      </c>
      <c r="R28" s="223">
        <v>2658</v>
      </c>
      <c r="S28" s="548"/>
      <c r="T28" s="549"/>
      <c r="U28" s="549"/>
      <c r="V28" s="549"/>
      <c r="W28" s="549"/>
      <c r="X28" s="549"/>
      <c r="Y28" s="549"/>
      <c r="Z28" s="212"/>
    </row>
    <row r="29" spans="1:26">
      <c r="A29" s="213"/>
      <c r="B29" s="550"/>
      <c r="C29" s="211"/>
      <c r="D29" s="211"/>
      <c r="E29" s="215">
        <f>HLOOKUP($E$19,$I$7:$R$32,11)</f>
        <v>444</v>
      </c>
      <c r="F29" s="215" t="s">
        <v>369</v>
      </c>
      <c r="G29" s="534">
        <v>0.22</v>
      </c>
      <c r="H29" s="535"/>
      <c r="I29" s="225">
        <v>282</v>
      </c>
      <c r="J29" s="225">
        <v>564</v>
      </c>
      <c r="K29" s="225">
        <v>846</v>
      </c>
      <c r="L29" s="225">
        <v>1128</v>
      </c>
      <c r="M29" s="225">
        <v>1410</v>
      </c>
      <c r="N29" s="225">
        <v>1692</v>
      </c>
      <c r="O29" s="225">
        <v>1974</v>
      </c>
      <c r="P29" s="225">
        <v>2256</v>
      </c>
      <c r="Q29" s="225">
        <v>2538</v>
      </c>
      <c r="R29" s="225">
        <v>2821</v>
      </c>
      <c r="S29" s="211"/>
      <c r="T29" s="211"/>
      <c r="U29" s="211"/>
      <c r="V29" s="211"/>
      <c r="W29" s="211"/>
      <c r="X29" s="211"/>
      <c r="Y29" s="211"/>
      <c r="Z29" s="212"/>
    </row>
    <row r="30" spans="1:26">
      <c r="A30" s="213"/>
      <c r="B30" s="550"/>
      <c r="C30" s="211"/>
      <c r="D30" s="211"/>
      <c r="E30" s="215">
        <f>HLOOKUP($E$19,$I$7:$R$32,12)</f>
        <v>494</v>
      </c>
      <c r="F30" s="215" t="s">
        <v>369</v>
      </c>
      <c r="G30" s="534">
        <v>0.23</v>
      </c>
      <c r="H30" s="535"/>
      <c r="I30" s="225">
        <v>299</v>
      </c>
      <c r="J30" s="225">
        <v>597</v>
      </c>
      <c r="K30" s="225">
        <v>896</v>
      </c>
      <c r="L30" s="225">
        <v>1195</v>
      </c>
      <c r="M30" s="225">
        <v>1494</v>
      </c>
      <c r="N30" s="225">
        <v>1792</v>
      </c>
      <c r="O30" s="225">
        <v>2091</v>
      </c>
      <c r="P30" s="225">
        <v>2390</v>
      </c>
      <c r="Q30" s="225">
        <v>2688</v>
      </c>
      <c r="R30" s="225">
        <v>2987</v>
      </c>
      <c r="S30" s="211"/>
      <c r="T30" s="211"/>
      <c r="U30" s="211"/>
      <c r="V30" s="211"/>
      <c r="W30" s="211"/>
      <c r="X30" s="211"/>
      <c r="Y30" s="211"/>
      <c r="Z30" s="212"/>
    </row>
    <row r="31" spans="1:26">
      <c r="A31" s="213"/>
      <c r="B31" s="550"/>
      <c r="C31" s="211"/>
      <c r="D31" s="211"/>
      <c r="E31" s="215">
        <f>HLOOKUP($E$19,$I$7:$R$32,13)</f>
        <v>545</v>
      </c>
      <c r="F31" s="215" t="s">
        <v>369</v>
      </c>
      <c r="G31" s="534">
        <v>0.24</v>
      </c>
      <c r="H31" s="535"/>
      <c r="I31" s="225">
        <v>316</v>
      </c>
      <c r="J31" s="225">
        <v>632</v>
      </c>
      <c r="K31" s="225">
        <v>947</v>
      </c>
      <c r="L31" s="225">
        <v>1263</v>
      </c>
      <c r="M31" s="225">
        <v>1579</v>
      </c>
      <c r="N31" s="225">
        <v>1895</v>
      </c>
      <c r="O31" s="225">
        <v>2211</v>
      </c>
      <c r="P31" s="225">
        <v>2526</v>
      </c>
      <c r="Q31" s="225">
        <v>2842</v>
      </c>
      <c r="R31" s="225">
        <v>3158</v>
      </c>
      <c r="S31" s="211"/>
      <c r="T31" s="211"/>
      <c r="U31" s="211"/>
      <c r="V31" s="211"/>
      <c r="W31" s="211"/>
      <c r="X31" s="211"/>
      <c r="Y31" s="211"/>
      <c r="Z31" s="212"/>
    </row>
    <row r="32" spans="1:26">
      <c r="A32" s="213"/>
      <c r="B32" s="227"/>
      <c r="C32" s="211"/>
      <c r="D32" s="211"/>
      <c r="E32" s="215">
        <f>HLOOKUP($E$19,$I$7:$R$32,14)</f>
        <v>598</v>
      </c>
      <c r="F32" s="215" t="s">
        <v>369</v>
      </c>
      <c r="G32" s="534">
        <v>0.25</v>
      </c>
      <c r="H32" s="535"/>
      <c r="I32" s="225">
        <v>333</v>
      </c>
      <c r="J32" s="225">
        <v>667</v>
      </c>
      <c r="K32" s="225">
        <v>1000</v>
      </c>
      <c r="L32" s="225">
        <v>1333</v>
      </c>
      <c r="M32" s="225">
        <v>1667</v>
      </c>
      <c r="N32" s="225">
        <v>2000</v>
      </c>
      <c r="O32" s="225">
        <v>2333</v>
      </c>
      <c r="P32" s="225">
        <v>2667</v>
      </c>
      <c r="Q32" s="225">
        <v>3000</v>
      </c>
      <c r="R32" s="225">
        <v>3333</v>
      </c>
      <c r="S32" s="211"/>
      <c r="T32" s="211"/>
      <c r="U32" s="211"/>
      <c r="V32" s="211"/>
      <c r="W32" s="211"/>
      <c r="X32" s="211"/>
      <c r="Y32" s="211"/>
      <c r="Z32" s="212"/>
    </row>
    <row r="33" spans="1:26">
      <c r="A33" s="213"/>
      <c r="B33" s="211"/>
      <c r="C33" s="211"/>
      <c r="D33" s="211"/>
      <c r="E33" s="215">
        <f>HLOOKUP($E$19,$I$7:$R$32,15)</f>
        <v>651</v>
      </c>
      <c r="F33" s="215" t="s">
        <v>369</v>
      </c>
      <c r="G33" s="228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2"/>
    </row>
    <row r="34" spans="1:26">
      <c r="A34" s="213"/>
      <c r="B34" s="211"/>
      <c r="C34" s="211"/>
      <c r="D34" s="211"/>
      <c r="E34" s="215">
        <f>HLOOKUP($E$19,$I$7:$R$32,16)</f>
        <v>706</v>
      </c>
      <c r="F34" s="215" t="s">
        <v>369</v>
      </c>
      <c r="G34" s="215"/>
      <c r="H34" s="211" t="s">
        <v>375</v>
      </c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536" t="s">
        <v>376</v>
      </c>
      <c r="U34" s="536"/>
      <c r="V34" s="536"/>
      <c r="W34" s="536"/>
      <c r="X34" s="536"/>
      <c r="Y34" s="536"/>
      <c r="Z34" s="212"/>
    </row>
    <row r="35" spans="1:26">
      <c r="A35" s="213"/>
      <c r="B35" s="211"/>
      <c r="C35" s="211"/>
      <c r="D35" s="211"/>
      <c r="E35" s="215">
        <f>HLOOKUP($E$19,$I$7:$R$32,17)</f>
        <v>762</v>
      </c>
      <c r="F35" s="215" t="s">
        <v>369</v>
      </c>
      <c r="G35" s="228"/>
      <c r="H35" s="211" t="s">
        <v>377</v>
      </c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537" t="s">
        <v>4</v>
      </c>
      <c r="V35" s="537"/>
      <c r="W35" s="537"/>
      <c r="X35" s="537"/>
      <c r="Y35" s="211"/>
      <c r="Z35" s="212"/>
    </row>
    <row r="36" spans="1:26" ht="18.75">
      <c r="A36" s="213"/>
      <c r="B36" s="211"/>
      <c r="C36" s="211"/>
      <c r="D36" s="211"/>
      <c r="E36" s="215">
        <f>HLOOKUP($E$19,$I$7:$R$32,18)</f>
        <v>819</v>
      </c>
      <c r="F36" s="215" t="s">
        <v>369</v>
      </c>
      <c r="G36" s="228"/>
      <c r="H36" s="211" t="s">
        <v>378</v>
      </c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529" t="s">
        <v>14</v>
      </c>
      <c r="V36" s="529"/>
      <c r="W36" s="529"/>
      <c r="X36" s="529"/>
      <c r="Y36" s="211"/>
      <c r="Z36" s="212"/>
    </row>
    <row r="37" spans="1:26">
      <c r="A37" s="213"/>
      <c r="B37" s="211"/>
      <c r="C37" s="211"/>
      <c r="D37" s="211"/>
      <c r="E37" s="215">
        <f>HLOOKUP($E$19,$I$7:$R$32,19)</f>
        <v>878</v>
      </c>
      <c r="F37" s="215" t="s">
        <v>369</v>
      </c>
      <c r="G37" s="228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2"/>
    </row>
    <row r="38" spans="1:26">
      <c r="A38" s="213"/>
      <c r="B38" s="211"/>
      <c r="C38" s="211"/>
      <c r="D38" s="211"/>
      <c r="E38" s="215">
        <f>HLOOKUP($E$19,$I$7:$R$32,20)</f>
        <v>938</v>
      </c>
      <c r="F38" s="215" t="s">
        <v>369</v>
      </c>
      <c r="G38" s="228"/>
      <c r="H38" s="211" t="s">
        <v>379</v>
      </c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2"/>
    </row>
    <row r="39" spans="1:26">
      <c r="A39" s="213"/>
      <c r="B39" s="211"/>
      <c r="C39" s="211"/>
      <c r="D39" s="211"/>
      <c r="E39" s="222">
        <f>HLOOKUP($E$19,$I$7:$R$32,21)</f>
        <v>1000</v>
      </c>
      <c r="F39" s="222" t="s">
        <v>369</v>
      </c>
      <c r="G39" s="228"/>
      <c r="H39" s="211" t="s">
        <v>380</v>
      </c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2"/>
    </row>
    <row r="40" spans="1:26">
      <c r="A40" s="213"/>
      <c r="B40" s="211"/>
      <c r="C40" s="211"/>
      <c r="D40" s="211"/>
      <c r="E40" s="215">
        <f>HLOOKUP($E$19,$I$7:$R$32,22)</f>
        <v>1063</v>
      </c>
      <c r="F40" s="215" t="s">
        <v>369</v>
      </c>
      <c r="G40" s="228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2"/>
    </row>
    <row r="41" spans="1:26">
      <c r="A41" s="213"/>
      <c r="B41" s="211"/>
      <c r="C41" s="211"/>
      <c r="D41" s="211"/>
      <c r="E41" s="215">
        <f>HLOOKUP($E$19,$I$7:$R$32,23)</f>
        <v>1128</v>
      </c>
      <c r="F41" s="215" t="s">
        <v>369</v>
      </c>
      <c r="G41" s="228"/>
      <c r="H41" s="211" t="s">
        <v>381</v>
      </c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2"/>
    </row>
    <row r="42" spans="1:26">
      <c r="A42" s="213"/>
      <c r="B42" s="211"/>
      <c r="C42" s="211"/>
      <c r="D42" s="211"/>
      <c r="E42" s="215">
        <f>HLOOKUP($E$19,$I$7:$R$32,24)</f>
        <v>1195</v>
      </c>
      <c r="F42" s="215" t="s">
        <v>369</v>
      </c>
      <c r="G42" s="228"/>
      <c r="H42" s="211" t="s">
        <v>382</v>
      </c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2"/>
    </row>
    <row r="43" spans="1:26">
      <c r="A43" s="213"/>
      <c r="B43" s="211"/>
      <c r="C43" s="211"/>
      <c r="D43" s="211"/>
      <c r="E43" s="215">
        <f>HLOOKUP($E$19,$I$7:$R$32,25)</f>
        <v>1263</v>
      </c>
      <c r="F43" s="215" t="s">
        <v>369</v>
      </c>
      <c r="G43" s="228"/>
      <c r="H43" s="211" t="s">
        <v>383</v>
      </c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2"/>
    </row>
    <row r="44" spans="1:26">
      <c r="A44" s="229"/>
      <c r="B44" s="211"/>
      <c r="C44" s="211"/>
      <c r="D44" s="211"/>
      <c r="E44" s="215">
        <f>HLOOKUP($E$19,$I$7:$R$32,26)</f>
        <v>1333</v>
      </c>
      <c r="F44" s="215" t="s">
        <v>369</v>
      </c>
      <c r="G44" s="228"/>
      <c r="H44" s="238" t="s">
        <v>384</v>
      </c>
      <c r="I44" s="230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530"/>
      <c r="Z44" s="531"/>
    </row>
    <row r="45" spans="1:26" ht="18.75" thickBot="1">
      <c r="A45" s="231" t="s">
        <v>2</v>
      </c>
      <c r="B45" s="232"/>
      <c r="C45" s="232"/>
      <c r="D45" s="232"/>
      <c r="E45" s="233"/>
      <c r="F45" s="232"/>
      <c r="G45" s="234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532" t="s">
        <v>12</v>
      </c>
      <c r="Z45" s="533"/>
    </row>
    <row r="46" spans="1:26">
      <c r="E46" s="235"/>
      <c r="G46" s="236"/>
    </row>
    <row r="47" spans="1:26">
      <c r="E47" s="235"/>
      <c r="G47" s="236"/>
    </row>
    <row r="48" spans="1:26">
      <c r="G48" s="236"/>
      <c r="I48" s="237"/>
    </row>
  </sheetData>
  <sheetProtection password="D9AA" sheet="1" objects="1" scenarios="1"/>
  <mergeCells count="43">
    <mergeCell ref="A6:C7"/>
    <mergeCell ref="E6:F6"/>
    <mergeCell ref="G1:R1"/>
    <mergeCell ref="G2:R3"/>
    <mergeCell ref="G4:R4"/>
    <mergeCell ref="G5:H7"/>
    <mergeCell ref="I5:R6"/>
    <mergeCell ref="A8:B8"/>
    <mergeCell ref="G8:H8"/>
    <mergeCell ref="S8:Y10"/>
    <mergeCell ref="G9:H9"/>
    <mergeCell ref="B10:B31"/>
    <mergeCell ref="G10:H10"/>
    <mergeCell ref="G11:H11"/>
    <mergeCell ref="G12:H12"/>
    <mergeCell ref="G13:H13"/>
    <mergeCell ref="G14:H14"/>
    <mergeCell ref="D18:F18"/>
    <mergeCell ref="G18:H18"/>
    <mergeCell ref="G19:H19"/>
    <mergeCell ref="G20:H20"/>
    <mergeCell ref="G21:H21"/>
    <mergeCell ref="S27:Y28"/>
    <mergeCell ref="G28:H28"/>
    <mergeCell ref="G15:H15"/>
    <mergeCell ref="G16:H16"/>
    <mergeCell ref="G17:H17"/>
    <mergeCell ref="S17:Y23"/>
    <mergeCell ref="G22:H22"/>
    <mergeCell ref="G23:H23"/>
    <mergeCell ref="G24:H24"/>
    <mergeCell ref="G25:H25"/>
    <mergeCell ref="G26:H26"/>
    <mergeCell ref="G27:H27"/>
    <mergeCell ref="U36:X36"/>
    <mergeCell ref="Y44:Z44"/>
    <mergeCell ref="Y45:Z45"/>
    <mergeCell ref="G29:H29"/>
    <mergeCell ref="G30:H30"/>
    <mergeCell ref="G31:H31"/>
    <mergeCell ref="G32:H32"/>
    <mergeCell ref="T34:Y34"/>
    <mergeCell ref="U35:X35"/>
  </mergeCells>
  <hyperlinks>
    <hyperlink ref="U35" r:id="rId1"/>
    <hyperlink ref="H4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Salt</vt:lpstr>
      <vt:lpstr>Salometer</vt:lpstr>
      <vt:lpstr>Ligevægt</vt:lpstr>
      <vt:lpstr>Tabel</vt:lpstr>
      <vt:lpstr>Lage</vt:lpstr>
      <vt:lpstr>Tabel!OLE_LINK1</vt:lpstr>
      <vt:lpstr>Salt!Udskriftsområde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cp:lastPrinted>2019-09-30T10:26:22Z</cp:lastPrinted>
  <dcterms:created xsi:type="dcterms:W3CDTF">2008-01-29T16:52:24Z</dcterms:created>
  <dcterms:modified xsi:type="dcterms:W3CDTF">2025-01-10T18:44:37Z</dcterms:modified>
</cp:coreProperties>
</file>