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210"/>
  </bookViews>
  <sheets>
    <sheet name="LF353" sheetId="1" r:id="rId1"/>
    <sheet name="Pt100 Pt1000" sheetId="4" r:id="rId2"/>
    <sheet name="Manuals" sheetId="3" r:id="rId3"/>
  </sheets>
  <definedNames>
    <definedName name="_xlnm.Print_Area" localSheetId="0">'LF353'!$G$21:$CA$115</definedName>
  </definedNames>
  <calcPr calcId="125725"/>
</workbook>
</file>

<file path=xl/calcChain.xml><?xml version="1.0" encoding="utf-8"?>
<calcChain xmlns="http://schemas.openxmlformats.org/spreadsheetml/2006/main">
  <c r="BI31" i="1"/>
  <c r="BH52"/>
  <c r="BO58" s="1"/>
  <c r="C115"/>
  <c r="C114"/>
  <c r="C113"/>
  <c r="C112"/>
  <c r="C111"/>
  <c r="C110"/>
  <c r="C109"/>
  <c r="C108"/>
  <c r="C107"/>
  <c r="AW40"/>
  <c r="BK85" l="1"/>
  <c r="BH85"/>
  <c r="BK31"/>
  <c r="AY26"/>
  <c r="AF24" l="1"/>
  <c r="O29" s="1"/>
  <c r="BO95"/>
  <c r="BE78"/>
  <c r="BX83"/>
  <c r="BX85"/>
  <c r="BX84"/>
  <c r="BW89"/>
  <c r="BG62"/>
  <c r="BL68" s="1"/>
  <c r="AA29"/>
  <c r="BF21"/>
  <c r="AF40"/>
  <c r="BB30"/>
  <c r="G31"/>
  <c r="V29"/>
  <c r="J37"/>
  <c r="J29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A7" s="1"/>
  <c r="C1"/>
  <c r="AF21" s="1"/>
  <c r="BQ85"/>
  <c r="AT40"/>
  <c r="AT42" s="1"/>
  <c r="R35"/>
  <c r="BL48"/>
  <c r="BE48"/>
  <c r="AI51"/>
  <c r="Y47"/>
  <c r="AB51"/>
  <c r="Y51"/>
  <c r="AV47"/>
  <c r="AH47"/>
  <c r="BB36"/>
  <c r="BY71" s="1"/>
  <c r="BB34"/>
  <c r="BB32"/>
  <c r="AY22"/>
  <c r="Z34" s="1"/>
  <c r="A4"/>
  <c r="AU36"/>
  <c r="AU34"/>
  <c r="AU32"/>
  <c r="G32"/>
  <c r="A5" l="1"/>
  <c r="AA37" s="1"/>
  <c r="A6"/>
  <c r="AP40" s="1"/>
  <c r="BL23"/>
  <c r="BF23"/>
  <c r="I45"/>
  <c r="V37"/>
  <c r="AU23"/>
  <c r="AI24" l="1"/>
  <c r="AQ32" s="1"/>
  <c r="AY32" s="1"/>
  <c r="O31" s="1"/>
  <c r="AE51"/>
  <c r="AR30"/>
  <c r="AU24"/>
  <c r="AY24" s="1"/>
  <c r="AP42"/>
  <c r="BN85"/>
  <c r="BR89" s="1"/>
  <c r="BO48"/>
  <c r="BS37" l="1"/>
  <c r="BV41"/>
  <c r="AA14"/>
  <c r="AA13"/>
  <c r="Z35"/>
  <c r="BN86"/>
  <c r="BE87" s="1"/>
  <c r="N35"/>
  <c r="AM30"/>
  <c r="AY30" s="1"/>
  <c r="O37"/>
  <c r="AQ34"/>
  <c r="AQ36" s="1"/>
  <c r="BF24" l="1"/>
  <c r="Q33"/>
  <c r="AY34"/>
  <c r="AY36" s="1"/>
  <c r="AQ38" s="1"/>
  <c r="AM44" l="1"/>
  <c r="BV71"/>
  <c r="BV67" s="1"/>
  <c r="BE68"/>
  <c r="U31"/>
</calcChain>
</file>

<file path=xl/sharedStrings.xml><?xml version="1.0" encoding="utf-8"?>
<sst xmlns="http://schemas.openxmlformats.org/spreadsheetml/2006/main" count="217" uniqueCount="190">
  <si>
    <t>Volt</t>
  </si>
  <si>
    <t>Modstande i Ohm</t>
  </si>
  <si>
    <t>V</t>
  </si>
  <si>
    <t>=</t>
  </si>
  <si>
    <t>Temp.</t>
  </si>
  <si>
    <t>Ohm</t>
  </si>
  <si>
    <t>V1</t>
  </si>
  <si>
    <t>V2</t>
  </si>
  <si>
    <t xml:space="preserve">V1 = </t>
  </si>
  <si>
    <t xml:space="preserve">V2 = </t>
  </si>
  <si>
    <r>
      <t xml:space="preserve">Ved 0 </t>
    </r>
    <r>
      <rPr>
        <sz val="11"/>
        <color theme="1"/>
        <rFont val="Calibri"/>
        <family val="2"/>
      </rPr>
      <t>°C</t>
    </r>
    <r>
      <rPr>
        <sz val="11"/>
        <color theme="1"/>
        <rFont val="Calibri"/>
        <family val="2"/>
        <scheme val="minor"/>
      </rPr>
      <t xml:space="preserve"> er V2-V1 = 0 Volt</t>
    </r>
  </si>
  <si>
    <t>+</t>
  </si>
  <si>
    <r>
      <t xml:space="preserve">mA ved 0 </t>
    </r>
    <r>
      <rPr>
        <sz val="11"/>
        <color theme="1"/>
        <rFont val="Calibri"/>
        <family val="2"/>
      </rPr>
      <t>°C</t>
    </r>
  </si>
  <si>
    <r>
      <t xml:space="preserve">mA ved 100 </t>
    </r>
    <r>
      <rPr>
        <sz val="11"/>
        <color theme="1"/>
        <rFont val="Calibri"/>
        <family val="2"/>
      </rPr>
      <t>°C</t>
    </r>
  </si>
  <si>
    <t>gange</t>
  </si>
  <si>
    <t xml:space="preserve"> °C </t>
  </si>
  <si>
    <t>Vout =</t>
  </si>
  <si>
    <t>Vout</t>
  </si>
  <si>
    <t>Resistance [Ω]</t>
  </si>
  <si>
    <t>Temperature [°C]</t>
  </si>
  <si>
    <r>
      <t>Rt = R0 * (1+A*t+B*t</t>
    </r>
    <r>
      <rPr>
        <sz val="11"/>
        <color theme="1"/>
        <rFont val="Calibri"/>
        <family val="2"/>
      </rPr>
      <t>²+C*(t-100)*t³)</t>
    </r>
  </si>
  <si>
    <t xml:space="preserve">A = </t>
  </si>
  <si>
    <t>B =</t>
  </si>
  <si>
    <r>
      <t>C = for t &lt; = 0</t>
    </r>
    <r>
      <rPr>
        <sz val="11"/>
        <color theme="1"/>
        <rFont val="Calibri"/>
        <family val="2"/>
      </rPr>
      <t>°C</t>
    </r>
  </si>
  <si>
    <r>
      <t>C = for t &lt;  0</t>
    </r>
    <r>
      <rPr>
        <sz val="11"/>
        <color theme="1"/>
        <rFont val="Calibri"/>
        <family val="2"/>
      </rPr>
      <t>°C</t>
    </r>
  </si>
  <si>
    <r>
      <t xml:space="preserve">For temperatur over 0 </t>
    </r>
    <r>
      <rPr>
        <sz val="11"/>
        <color theme="1"/>
        <rFont val="Calibri"/>
        <family val="2"/>
      </rPr>
      <t>°C bliver formlen:</t>
    </r>
  </si>
  <si>
    <r>
      <t>Rt = R0 * (1+A*t+B*t</t>
    </r>
    <r>
      <rPr>
        <sz val="11"/>
        <color theme="1"/>
        <rFont val="Calibri"/>
        <family val="2"/>
      </rPr>
      <t>²) =</t>
    </r>
  </si>
  <si>
    <t>Rt beregnet ved:</t>
  </si>
  <si>
    <t xml:space="preserve"> mV</t>
  </si>
  <si>
    <t>-</t>
  </si>
  <si>
    <t>Vin =</t>
  </si>
  <si>
    <t>V2 - V1 =</t>
  </si>
  <si>
    <t>Vout=Vin*Av =</t>
  </si>
  <si>
    <t>R5</t>
  </si>
  <si>
    <t>R6</t>
  </si>
  <si>
    <t xml:space="preserve"> mA</t>
  </si>
  <si>
    <t>I</t>
  </si>
  <si>
    <t>Pos</t>
  </si>
  <si>
    <t>Neg</t>
  </si>
  <si>
    <t>R4</t>
  </si>
  <si>
    <t>Modstande i k Ohm</t>
  </si>
  <si>
    <t xml:space="preserve">Av= </t>
  </si>
  <si>
    <t>P1</t>
  </si>
  <si>
    <t>R8</t>
  </si>
  <si>
    <t>LF353</t>
  </si>
  <si>
    <r>
      <t>R11 er en serieforbindelse med 91k</t>
    </r>
    <r>
      <rPr>
        <sz val="11"/>
        <color theme="1"/>
        <rFont val="Calibri"/>
        <family val="2"/>
      </rPr>
      <t>Ω og 8.2kΩ</t>
    </r>
  </si>
  <si>
    <t>Her er strømforsyningen der passer til Instrument Forstærkeren</t>
  </si>
  <si>
    <t>R3</t>
  </si>
  <si>
    <t>(V/(R3+R4))*R4</t>
  </si>
  <si>
    <t>(V/(R5+Pt))*Pt</t>
  </si>
  <si>
    <t>R10</t>
  </si>
  <si>
    <t xml:space="preserve">Potentiometer armen skrues </t>
  </si>
  <si>
    <t>op</t>
  </si>
  <si>
    <t>R12</t>
  </si>
  <si>
    <t>P3</t>
  </si>
  <si>
    <r>
      <t xml:space="preserve">Temp </t>
    </r>
    <r>
      <rPr>
        <sz val="11"/>
        <color theme="1"/>
        <rFont val="Calibri"/>
        <family val="2"/>
      </rPr>
      <t>°C</t>
    </r>
  </si>
  <si>
    <t>P'3</t>
  </si>
  <si>
    <t>P'1</t>
  </si>
  <si>
    <t>Av=((2*R6/P'1+1))*(R10/R8)</t>
  </si>
  <si>
    <t>Pt100</t>
  </si>
  <si>
    <t>Pt1000</t>
  </si>
  <si>
    <t>Valgt Pt</t>
  </si>
  <si>
    <t>R3/R4 =  R5/Pt</t>
  </si>
  <si>
    <t>Av * (V2-V1) = Av*Vin =</t>
  </si>
  <si>
    <t>Av = Vout/Vin =</t>
  </si>
  <si>
    <t>Anbefalet strøm i Pt100 er 1mA til 3mA</t>
  </si>
  <si>
    <t>Anbefalet strøm i Pt1000 er 0,3mA til 1mA</t>
  </si>
  <si>
    <t>walter</t>
  </si>
  <si>
    <t>Reg. No. 1278</t>
  </si>
  <si>
    <r>
      <t xml:space="preserve">For Pt100 vælg  </t>
    </r>
    <r>
      <rPr>
        <b/>
        <sz val="11"/>
        <color theme="1"/>
        <rFont val="Calibri"/>
        <family val="2"/>
        <scheme val="minor"/>
      </rPr>
      <t>1</t>
    </r>
  </si>
  <si>
    <r>
      <t xml:space="preserve">For Pt1000 vælg </t>
    </r>
    <r>
      <rPr>
        <b/>
        <sz val="11"/>
        <color theme="1"/>
        <rFont val="Calibri"/>
        <family val="2"/>
        <scheme val="minor"/>
      </rPr>
      <t>10</t>
    </r>
  </si>
  <si>
    <t>Ønsker man at tilpasse Vout til et måleinstrument</t>
  </si>
  <si>
    <t>med en anden følsomhed end 1 volt til 10 volt,</t>
  </si>
  <si>
    <t>Her er anvendt R12 og en trimmer P3 til at nedsætte</t>
  </si>
  <si>
    <t>Herunder justeres forstærkningen med P1</t>
  </si>
  <si>
    <t>den valgte temperatur.</t>
  </si>
  <si>
    <t>således, at Vout får den rette værdi ved</t>
  </si>
  <si>
    <t>"Hvad hvis-analyse"</t>
  </si>
  <si>
    <t>Vælg en faktor:</t>
  </si>
  <si>
    <t>Vout * faktor =</t>
  </si>
  <si>
    <t>1/10</t>
  </si>
  <si>
    <t>1/100</t>
  </si>
  <si>
    <t>1/1000</t>
  </si>
  <si>
    <t>Faktor</t>
  </si>
  <si>
    <t>Find [Vout * Faktor], anvend "Hvad hvis-analyse"</t>
  </si>
  <si>
    <r>
      <t>på</t>
    </r>
    <r>
      <rPr>
        <sz val="11"/>
        <color rgb="FF00B0F0"/>
        <rFont val="Calibri"/>
        <family val="2"/>
        <scheme val="minor"/>
      </rPr>
      <t xml:space="preserve"> P'3</t>
    </r>
    <r>
      <rPr>
        <sz val="11"/>
        <color theme="1"/>
        <rFont val="Calibri"/>
        <family val="2"/>
        <scheme val="minor"/>
      </rPr>
      <t xml:space="preserve"> og</t>
    </r>
    <r>
      <rPr>
        <sz val="11"/>
        <color rgb="FF0070C0"/>
        <rFont val="Calibri"/>
        <family val="2"/>
        <scheme val="minor"/>
      </rPr>
      <t xml:space="preserve"> [Vout * Faktor]</t>
    </r>
  </si>
  <si>
    <r>
      <rPr>
        <sz val="11"/>
        <color rgb="FF0070C0"/>
        <rFont val="Calibri"/>
        <family val="2"/>
        <scheme val="minor"/>
      </rPr>
      <t>[Vout * faktor]</t>
    </r>
    <r>
      <rPr>
        <sz val="11"/>
        <color theme="1"/>
        <rFont val="Calibri"/>
        <family val="2"/>
        <scheme val="minor"/>
      </rPr>
      <t xml:space="preserve"> = (Vout/(R12+P'3))*P'3 =</t>
    </r>
  </si>
  <si>
    <t>Jeg vil lave denne Instrument Forstærker til min Pt100</t>
  </si>
  <si>
    <t>efter anvendt "Hvad hvis-analyse" på R5</t>
  </si>
  <si>
    <t>Pt1000 arbejdspunkt er inden for grænse værdierne</t>
  </si>
  <si>
    <t>Pt100 arbejdspunkt er inden for grænse værdierne</t>
  </si>
  <si>
    <t>Pt100 arbejdspunkt er uden for grænse værdierne</t>
  </si>
  <si>
    <t>Pt1000 arbejdspunkt er uden for grænse værdierne</t>
  </si>
  <si>
    <t>Vælg R5=R3 så Pt Imin og Imax ligger inden for området:</t>
  </si>
  <si>
    <t>1mA til 3mA</t>
  </si>
  <si>
    <t>0,3mA til 1mA</t>
  </si>
  <si>
    <t>R5 = R3 vælges til nærmeste standardværdi. Her er valgt: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</si>
  <si>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</si>
  <si>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</si>
  <si>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2017</t>
  </si>
  <si>
    <t>Manual for brug af Regnearket til Pt100 og Pt1000</t>
  </si>
  <si>
    <t>1.</t>
  </si>
  <si>
    <t>Justering af P2 foretages med Pt100/Pt1000 nedsænket</t>
  </si>
  <si>
    <r>
      <t xml:space="preserve">i isvand = 0 </t>
    </r>
    <r>
      <rPr>
        <sz val="11"/>
        <color theme="1"/>
        <rFont val="Calibri"/>
        <family val="2"/>
      </rPr>
      <t>°C i flere minutter.</t>
    </r>
  </si>
  <si>
    <t>Brug et meget følsomt voltmeter. Juster Vout til 0,0000 volt.</t>
  </si>
  <si>
    <t>På "Test Terminalen" på PCB'en skal man måle 0,0000 volt.</t>
  </si>
  <si>
    <t>Her viser beregningen 312pV med P1 79,40%. Få µV vil være OK</t>
  </si>
  <si>
    <t xml:space="preserve">Justeringen af P1 foretages med Pt100/Pt1000 nedsænket </t>
  </si>
  <si>
    <t>i kogende vand 100 °C i flere minutter.</t>
  </si>
  <si>
    <t>Brug et følsomt voltmeter. Juster Vout til 10,00 volt.</t>
  </si>
  <si>
    <t>af et digital voltmeter.</t>
  </si>
  <si>
    <t>kan man lave en spændingsdeler med to modstande.</t>
  </si>
  <si>
    <t>P3 er justeringen af spændingsdeleren for tilpasning</t>
  </si>
  <si>
    <t>2.</t>
  </si>
  <si>
    <t>I de gule celler kan man indtaste værdier.</t>
  </si>
  <si>
    <t>3.</t>
  </si>
  <si>
    <t>De blå celler bruges til "Hvad hvis-analyse"</t>
  </si>
  <si>
    <t>4.</t>
  </si>
  <si>
    <t>De lilla celler er for datavalidering. Valg af udvalgte data.</t>
  </si>
  <si>
    <t>5.</t>
  </si>
  <si>
    <t>6.</t>
  </si>
  <si>
    <t>Start med at vælge sensor i celle P23 - første datavaliderings celle - 1 er Pt100 og 10 er Pt1000.</t>
  </si>
  <si>
    <t>7.</t>
  </si>
  <si>
    <t>8.</t>
  </si>
  <si>
    <r>
      <t xml:space="preserve">Anvend "Hvad hvis-analyse" på </t>
    </r>
    <r>
      <rPr>
        <sz val="11"/>
        <color rgb="FF0070C0"/>
        <rFont val="Calibri"/>
        <family val="2"/>
        <scheme val="minor"/>
      </rPr>
      <t>R5</t>
    </r>
    <r>
      <rPr>
        <sz val="11"/>
        <rFont val="Calibri"/>
        <family val="2"/>
        <scheme val="minor"/>
      </rPr>
      <t xml:space="preserve"> og</t>
    </r>
    <r>
      <rPr>
        <sz val="11"/>
        <color rgb="FF0070C0"/>
        <rFont val="Calibri"/>
        <family val="2"/>
        <scheme val="minor"/>
      </rPr>
      <t xml:space="preserve"> mA </t>
    </r>
    <r>
      <rPr>
        <sz val="11"/>
        <rFont val="Calibri"/>
        <family val="2"/>
        <scheme val="minor"/>
      </rPr>
      <t xml:space="preserve">ved 0 </t>
    </r>
    <r>
      <rPr>
        <sz val="11"/>
        <rFont val="Calibri"/>
        <family val="2"/>
      </rPr>
      <t>°C for Imax</t>
    </r>
  </si>
  <si>
    <t>9.</t>
  </si>
  <si>
    <t>10.</t>
  </si>
  <si>
    <t>11.</t>
  </si>
  <si>
    <t>12.</t>
  </si>
  <si>
    <t>13.</t>
  </si>
  <si>
    <t>Ønskes en lavere værdi for Vout for tilpasning af et digitalt måleinstrument, kan en spændingsdeler anvendes. Nedenfor i celle BL80 kan vælges tre værdier. Faktor 0,1 - 0,01 -  0,001.</t>
  </si>
  <si>
    <t>14.</t>
  </si>
  <si>
    <t>15.</t>
  </si>
  <si>
    <t>16.</t>
  </si>
  <si>
    <t>Vælg faktor 0,01 og (Vout*Faktor) er 0,1 volt til det digitale måleinstrument.</t>
  </si>
  <si>
    <t>17.</t>
  </si>
  <si>
    <t>18.</t>
  </si>
  <si>
    <t>Det var det, så er forstærkeren klar til brug.</t>
  </si>
  <si>
    <t>NB:</t>
  </si>
  <si>
    <t>Justeringerne beskrevet på Ark LF353 skal være udført inden ovenstående foretages.</t>
  </si>
  <si>
    <t>De to sensorer har hver sit anbefalet strømforbrug. Jeg benytter laveste strøm for ikke at få opvarmning på grund af for højt afsat effekt.</t>
  </si>
  <si>
    <r>
      <t xml:space="preserve">Vælg Temp. 0 </t>
    </r>
    <r>
      <rPr>
        <sz val="14"/>
        <color theme="1"/>
        <rFont val="Calibri"/>
        <family val="2"/>
      </rPr>
      <t>°C og se om strømmen ligger inden for anbefalet område. Kan aflæses i celle BF24.</t>
    </r>
  </si>
  <si>
    <t>Vcc</t>
  </si>
  <si>
    <t>ADR510</t>
  </si>
  <si>
    <t>volt</t>
  </si>
  <si>
    <t>Rbias</t>
  </si>
  <si>
    <t>(Vcc-Vout)/(IL+IQ)</t>
  </si>
  <si>
    <t>Iin min</t>
  </si>
  <si>
    <t>100µA</t>
  </si>
  <si>
    <t>Iin max</t>
  </si>
  <si>
    <t>10mA</t>
  </si>
  <si>
    <t>Iin</t>
  </si>
  <si>
    <t>mA</t>
  </si>
  <si>
    <r>
      <t>k</t>
    </r>
    <r>
      <rPr>
        <sz val="11"/>
        <color theme="1"/>
        <rFont val="Calibri"/>
        <family val="2"/>
      </rPr>
      <t>Ω</t>
    </r>
  </si>
  <si>
    <t>IL</t>
  </si>
  <si>
    <t>1,0 V shunt voltage reference</t>
  </si>
  <si>
    <t>Cout 1µF optional</t>
  </si>
  <si>
    <t>Cout</t>
  </si>
  <si>
    <t>Rbias =</t>
  </si>
  <si>
    <t>Iin =</t>
  </si>
  <si>
    <t>IL =</t>
  </si>
  <si>
    <t>valgt</t>
  </si>
  <si>
    <t>GND</t>
  </si>
  <si>
    <t>Regnearket er ikke Password beskyttet endnu.</t>
  </si>
  <si>
    <t>Gule, Blå og lilla celler er ikke beskyttet, da man skal kunne ændre disse data.</t>
  </si>
  <si>
    <t>NB: Pas på, regnearket er ikke Password beskyttet endnu</t>
  </si>
  <si>
    <t>19.</t>
  </si>
  <si>
    <t>En anden mulighed vil være at nedsætte spændingen til til 1 volt på målebroen. Anvend en  ADR510 1,0V Shunt Voltage Reference.</t>
  </si>
  <si>
    <t>Vælg 1 V eller 10V for Vout</t>
  </si>
  <si>
    <t>Beregning med Pt 100 eller Pt 1000</t>
  </si>
  <si>
    <t>P1 bestemmes selv efter valg af Pt sensor og Vout</t>
  </si>
  <si>
    <r>
      <t>Angiv</t>
    </r>
    <r>
      <rPr>
        <sz val="11"/>
        <color rgb="FF00B0F0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Av</t>
    </r>
    <r>
      <rPr>
        <sz val="11"/>
        <color theme="1"/>
        <rFont val="Calibri"/>
        <family val="2"/>
        <scheme val="minor"/>
      </rPr>
      <t xml:space="preserve"> i denne celle til  værdien ovenfor</t>
    </r>
  </si>
  <si>
    <r>
      <t>ved ændring af cellen med</t>
    </r>
    <r>
      <rPr>
        <sz val="11"/>
        <color rgb="FF00B0F0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P'1</t>
    </r>
    <r>
      <rPr>
        <sz val="11"/>
        <color theme="1"/>
        <rFont val="Calibri"/>
        <family val="2"/>
        <scheme val="minor"/>
      </rPr>
      <t xml:space="preserve"> brug</t>
    </r>
  </si>
  <si>
    <r>
      <t>Find P'1 i %, anvend  "Hvad hvis-analyse" på</t>
    </r>
    <r>
      <rPr>
        <sz val="11"/>
        <color rgb="FF0070C0"/>
        <rFont val="Calibri"/>
        <family val="2"/>
        <scheme val="minor"/>
      </rPr>
      <t xml:space="preserve"> P'1</t>
    </r>
    <r>
      <rPr>
        <sz val="11"/>
        <color theme="1"/>
        <rFont val="Calibri"/>
        <family val="2"/>
        <scheme val="minor"/>
      </rPr>
      <t xml:space="preserve"> og </t>
    </r>
    <r>
      <rPr>
        <sz val="11"/>
        <color rgb="FF0070C0"/>
        <rFont val="Calibri"/>
        <family val="2"/>
        <scheme val="minor"/>
      </rPr>
      <t>Av</t>
    </r>
  </si>
  <si>
    <t>Rbias standard =</t>
  </si>
  <si>
    <t>Vælg en standard værdi for Rbias. Anvend "Hvad hvis-analyse" på Rbias og Iin</t>
  </si>
  <si>
    <r>
      <t xml:space="preserve">Anvend "Hvad hvis-analyse" på </t>
    </r>
    <r>
      <rPr>
        <sz val="11"/>
        <color rgb="FF0070C0"/>
        <rFont val="Calibri"/>
        <family val="2"/>
        <scheme val="minor"/>
      </rPr>
      <t>R5</t>
    </r>
    <r>
      <rPr>
        <sz val="11"/>
        <rFont val="Calibri"/>
        <family val="2"/>
        <scheme val="minor"/>
      </rPr>
      <t xml:space="preserve"> og</t>
    </r>
    <r>
      <rPr>
        <sz val="11"/>
        <color rgb="FF0070C0"/>
        <rFont val="Calibri"/>
        <family val="2"/>
        <scheme val="minor"/>
      </rPr>
      <t xml:space="preserve"> mA </t>
    </r>
    <r>
      <rPr>
        <sz val="11"/>
        <rFont val="Calibri"/>
        <family val="2"/>
        <scheme val="minor"/>
      </rPr>
      <t xml:space="preserve">ved 100 </t>
    </r>
    <r>
      <rPr>
        <sz val="11"/>
        <rFont val="Calibri"/>
        <family val="2"/>
      </rPr>
      <t>°C for Imin</t>
    </r>
  </si>
  <si>
    <t>Gælder kun ved 0 °C</t>
  </si>
  <si>
    <t>Diagram til nedsættelse af Brospændingen til 1 volt</t>
  </si>
  <si>
    <t>Regnearket, som kommer default op, er et eksempel på beregning af sensor Pt100 og Vout 10 V på min forstærker.</t>
  </si>
  <si>
    <t>Vælg dernæst Vout 1 volt eller 10 volt i celle U23 - anden datavaliderings celle - 1 er 1 volt og 10 er 10 volt.</t>
  </si>
  <si>
    <r>
      <t xml:space="preserve">Vælg 10 for Pt1000. Lav en "Hvad hvis-analyse" m.h.t.  R5 og mA. Vælg Temp. 100 </t>
    </r>
    <r>
      <rPr>
        <sz val="14"/>
        <color theme="1"/>
        <rFont val="Calibri"/>
        <family val="2"/>
      </rPr>
      <t>°C og lav en målsøgning med 0,300 mA. R5 udregnes til 31.990 Ω.</t>
    </r>
  </si>
  <si>
    <r>
      <t xml:space="preserve">Vælg Temp100 </t>
    </r>
    <r>
      <rPr>
        <sz val="14"/>
        <color theme="1"/>
        <rFont val="Calibri"/>
        <family val="2"/>
      </rPr>
      <t>°C og aflæs Av nedenfor i celle AM4, her 76,4468. Hvilket betyder, at Vin skal forstærkes 76,4468 gange for at give 10 Vout.</t>
    </r>
  </si>
  <si>
    <r>
      <t>Lav en målsøgning i celle BG62 på 76,4468 m.h.t. P'1 i celle BE52. Resultatet for P'1 bliver 2,6509 K</t>
    </r>
    <r>
      <rPr>
        <sz val="14"/>
        <color theme="1"/>
        <rFont val="Calibri"/>
        <family val="2"/>
      </rPr>
      <t>Ω. I orange celle BO58 aflæses indstillingen af "armen" på P1. Her 26,51%.</t>
    </r>
  </si>
  <si>
    <r>
      <t xml:space="preserve">Anvend "Hvad hvis-analyse" på P'3 m.h.t. (Vout*Faktor). P'3 aflæses til 201,43 </t>
    </r>
    <r>
      <rPr>
        <sz val="14"/>
        <color theme="1"/>
        <rFont val="Calibri"/>
        <family val="2"/>
      </rPr>
      <t>Ω. Armens indstilling er 40,3%.</t>
    </r>
  </si>
  <si>
    <r>
      <t>Default for P3 er 2 k</t>
    </r>
    <r>
      <rPr>
        <sz val="14"/>
        <color theme="1"/>
        <rFont val="Calibri"/>
        <family val="2"/>
      </rPr>
      <t xml:space="preserve">Ω og R12 10 kΩ for faktor 0,1. Ændres faktoren, ændres disse værdier sig også. Derfor skal der laves en ny målsøgning. I celle BE87: </t>
    </r>
    <r>
      <rPr>
        <sz val="14"/>
        <color rgb="FFFF0000"/>
        <rFont val="Calibri"/>
        <family val="2"/>
      </rPr>
      <t>"Målsøgning skal udføres"</t>
    </r>
    <r>
      <rPr>
        <sz val="14"/>
        <color theme="1"/>
        <rFont val="Calibri"/>
        <family val="2"/>
      </rPr>
      <t>.</t>
    </r>
  </si>
  <si>
    <t>20.</t>
  </si>
  <si>
    <r>
      <t xml:space="preserve">Vælg nærmeste standard værdi og tast denne ind i cellerne AY28 og AL24. Her vælges 27.000 </t>
    </r>
    <r>
      <rPr>
        <sz val="14"/>
        <color theme="1"/>
        <rFont val="Calibri"/>
        <family val="2"/>
      </rPr>
      <t>Ω</t>
    </r>
    <r>
      <rPr>
        <sz val="14"/>
        <color theme="1"/>
        <rFont val="Calibri"/>
        <family val="2"/>
        <scheme val="minor"/>
      </rPr>
      <t>.</t>
    </r>
  </si>
  <si>
    <t>Diagrammer for forstærkeren til Pt100 og Pt1000</t>
  </si>
  <si>
    <t>Reg. Nr. 1278</t>
  </si>
</sst>
</file>

<file path=xl/styles.xml><?xml version="1.0" encoding="utf-8"?>
<styleSheet xmlns="http://schemas.openxmlformats.org/spreadsheetml/2006/main">
  <numFmts count="7">
    <numFmt numFmtId="164" formatCode="0.0000"/>
    <numFmt numFmtId="165" formatCode="0.0"/>
    <numFmt numFmtId="166" formatCode="0.000"/>
    <numFmt numFmtId="167" formatCode="#,##0.0000"/>
    <numFmt numFmtId="168" formatCode="0.00000"/>
    <numFmt numFmtId="169" formatCode="0.0%"/>
    <numFmt numFmtId="170" formatCode="_ * #,##0.000_ ;_ * \-#,##0.000_ ;_ * &quot;-&quot;?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</font>
    <font>
      <b/>
      <sz val="12"/>
      <color rgb="FF0070C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50">
    <xf numFmtId="0" fontId="0" fillId="0" borderId="0" xfId="0"/>
    <xf numFmtId="0" fontId="10" fillId="0" borderId="0" xfId="0" applyFont="1"/>
    <xf numFmtId="0" fontId="5" fillId="4" borderId="1" xfId="0" applyFont="1" applyFill="1" applyBorder="1" applyProtection="1"/>
    <xf numFmtId="0" fontId="5" fillId="4" borderId="22" xfId="0" applyFont="1" applyFill="1" applyBorder="1" applyAlignment="1" applyProtection="1"/>
    <xf numFmtId="0" fontId="0" fillId="4" borderId="22" xfId="0" applyFill="1" applyBorder="1" applyAlignment="1" applyProtection="1">
      <alignment horizontal="center"/>
    </xf>
    <xf numFmtId="0" fontId="5" fillId="4" borderId="22" xfId="0" applyFont="1" applyFill="1" applyBorder="1" applyAlignment="1" applyProtection="1">
      <alignment horizontal="left"/>
    </xf>
    <xf numFmtId="0" fontId="0" fillId="4" borderId="22" xfId="0" applyFill="1" applyBorder="1" applyProtection="1"/>
    <xf numFmtId="0" fontId="0" fillId="4" borderId="2" xfId="0" applyFill="1" applyBorder="1" applyProtection="1"/>
    <xf numFmtId="0" fontId="0" fillId="0" borderId="0" xfId="0" applyProtection="1"/>
    <xf numFmtId="0" fontId="5" fillId="4" borderId="3" xfId="0" applyFont="1" applyFill="1" applyBorder="1" applyProtection="1"/>
    <xf numFmtId="0" fontId="0" fillId="4" borderId="0" xfId="0" applyFill="1" applyBorder="1" applyProtection="1"/>
    <xf numFmtId="0" fontId="0" fillId="4" borderId="4" xfId="0" applyFill="1" applyBorder="1" applyProtection="1"/>
    <xf numFmtId="0" fontId="5" fillId="3" borderId="3" xfId="0" applyFont="1" applyFill="1" applyBorder="1" applyAlignment="1" applyProtection="1">
      <alignment horizontal="center"/>
    </xf>
    <xf numFmtId="166" fontId="5" fillId="3" borderId="3" xfId="0" applyNumberFormat="1" applyFont="1" applyFill="1" applyBorder="1" applyProtection="1"/>
    <xf numFmtId="2" fontId="5" fillId="4" borderId="3" xfId="0" applyNumberFormat="1" applyFont="1" applyFill="1" applyBorder="1" applyAlignment="1" applyProtection="1">
      <alignment horizontal="center"/>
    </xf>
    <xf numFmtId="0" fontId="0" fillId="4" borderId="0" xfId="0" applyFill="1" applyBorder="1" applyAlignment="1" applyProtection="1"/>
    <xf numFmtId="0" fontId="12" fillId="4" borderId="0" xfId="0" applyFont="1" applyFill="1" applyBorder="1" applyProtection="1"/>
    <xf numFmtId="0" fontId="0" fillId="4" borderId="12" xfId="0" applyFill="1" applyBorder="1" applyProtection="1"/>
    <xf numFmtId="0" fontId="0" fillId="4" borderId="13" xfId="0" applyFill="1" applyBorder="1" applyProtection="1"/>
    <xf numFmtId="0" fontId="0" fillId="4" borderId="14" xfId="0" applyFill="1" applyBorder="1" applyProtection="1"/>
    <xf numFmtId="0" fontId="0" fillId="4" borderId="7" xfId="0" applyFill="1" applyBorder="1" applyProtection="1"/>
    <xf numFmtId="0" fontId="5" fillId="4" borderId="0" xfId="0" applyFont="1" applyFill="1" applyBorder="1" applyAlignment="1" applyProtection="1"/>
    <xf numFmtId="0" fontId="0" fillId="4" borderId="15" xfId="0" applyFill="1" applyBorder="1" applyProtection="1"/>
    <xf numFmtId="0" fontId="0" fillId="4" borderId="8" xfId="0" applyFill="1" applyBorder="1" applyProtection="1"/>
    <xf numFmtId="164" fontId="0" fillId="4" borderId="0" xfId="0" applyNumberFormat="1" applyFill="1" applyBorder="1" applyAlignment="1" applyProtection="1"/>
    <xf numFmtId="3" fontId="0" fillId="4" borderId="0" xfId="0" applyNumberFormat="1" applyFill="1" applyBorder="1" applyAlignment="1" applyProtection="1"/>
    <xf numFmtId="4" fontId="0" fillId="4" borderId="0" xfId="0" applyNumberFormat="1" applyFill="1" applyBorder="1" applyAlignment="1" applyProtection="1"/>
    <xf numFmtId="2" fontId="0" fillId="4" borderId="0" xfId="0" applyNumberFormat="1" applyFill="1" applyBorder="1" applyAlignment="1" applyProtection="1"/>
    <xf numFmtId="166" fontId="0" fillId="4" borderId="0" xfId="0" applyNumberFormat="1" applyFill="1" applyBorder="1" applyAlignment="1" applyProtection="1"/>
    <xf numFmtId="0" fontId="13" fillId="4" borderId="0" xfId="0" applyFont="1" applyFill="1" applyBorder="1" applyProtection="1"/>
    <xf numFmtId="0" fontId="0" fillId="4" borderId="9" xfId="0" applyFill="1" applyBorder="1" applyProtection="1"/>
    <xf numFmtId="0" fontId="0" fillId="4" borderId="0" xfId="0" applyFill="1" applyBorder="1" applyAlignment="1" applyProtection="1">
      <alignment vertical="center"/>
    </xf>
    <xf numFmtId="0" fontId="0" fillId="4" borderId="11" xfId="0" applyFill="1" applyBorder="1" applyProtection="1"/>
    <xf numFmtId="0" fontId="0" fillId="4" borderId="10" xfId="0" applyFill="1" applyBorder="1" applyProtection="1"/>
    <xf numFmtId="164" fontId="4" fillId="4" borderId="0" xfId="0" applyNumberFormat="1" applyFont="1" applyFill="1" applyBorder="1" applyAlignment="1" applyProtection="1"/>
    <xf numFmtId="0" fontId="0" fillId="4" borderId="16" xfId="0" applyFill="1" applyBorder="1" applyProtection="1"/>
    <xf numFmtId="0" fontId="0" fillId="4" borderId="17" xfId="0" applyFill="1" applyBorder="1" applyProtection="1"/>
    <xf numFmtId="0" fontId="0" fillId="4" borderId="18" xfId="0" applyFill="1" applyBorder="1" applyProtection="1"/>
    <xf numFmtId="10" fontId="0" fillId="4" borderId="0" xfId="1" applyNumberFormat="1" applyFont="1" applyFill="1" applyBorder="1" applyAlignment="1" applyProtection="1"/>
    <xf numFmtId="0" fontId="6" fillId="4" borderId="0" xfId="0" applyFont="1" applyFill="1" applyBorder="1" applyProtection="1"/>
    <xf numFmtId="0" fontId="4" fillId="4" borderId="0" xfId="0" applyFont="1" applyFill="1" applyBorder="1" applyAlignment="1" applyProtection="1"/>
    <xf numFmtId="165" fontId="0" fillId="4" borderId="0" xfId="0" applyNumberFormat="1" applyFill="1" applyBorder="1" applyAlignment="1" applyProtection="1"/>
    <xf numFmtId="0" fontId="0" fillId="6" borderId="0" xfId="0" applyFill="1" applyBorder="1" applyProtection="1"/>
    <xf numFmtId="0" fontId="0" fillId="4" borderId="29" xfId="0" applyFill="1" applyBorder="1" applyProtection="1"/>
    <xf numFmtId="164" fontId="0" fillId="4" borderId="29" xfId="0" applyNumberFormat="1" applyFill="1" applyBorder="1" applyAlignment="1" applyProtection="1"/>
    <xf numFmtId="0" fontId="0" fillId="4" borderId="29" xfId="0" applyFill="1" applyBorder="1" applyAlignment="1" applyProtection="1"/>
    <xf numFmtId="0" fontId="0" fillId="4" borderId="20" xfId="0" applyFill="1" applyBorder="1" applyProtection="1"/>
    <xf numFmtId="0" fontId="0" fillId="4" borderId="23" xfId="0" applyFill="1" applyBorder="1" applyProtection="1"/>
    <xf numFmtId="0" fontId="0" fillId="4" borderId="21" xfId="0" applyFill="1" applyBorder="1" applyAlignment="1" applyProtection="1">
      <alignment vertical="center"/>
    </xf>
    <xf numFmtId="0" fontId="0" fillId="4" borderId="24" xfId="0" applyFill="1" applyBorder="1" applyProtection="1"/>
    <xf numFmtId="0" fontId="0" fillId="4" borderId="24" xfId="0" applyFill="1" applyBorder="1" applyAlignment="1" applyProtection="1">
      <alignment horizontal="center" vertical="center"/>
    </xf>
    <xf numFmtId="0" fontId="0" fillId="4" borderId="25" xfId="0" applyFill="1" applyBorder="1" applyProtection="1"/>
    <xf numFmtId="16" fontId="0" fillId="4" borderId="0" xfId="0" quotePrefix="1" applyNumberFormat="1" applyFill="1" applyBorder="1" applyAlignment="1" applyProtection="1"/>
    <xf numFmtId="0" fontId="0" fillId="0" borderId="0" xfId="0" applyFill="1" applyProtection="1"/>
    <xf numFmtId="164" fontId="0" fillId="0" borderId="0" xfId="0" applyNumberFormat="1" applyAlignment="1" applyProtection="1">
      <alignment horizontal="center"/>
    </xf>
    <xf numFmtId="0" fontId="12" fillId="4" borderId="0" xfId="0" quotePrefix="1" applyFont="1" applyFill="1" applyBorder="1" applyAlignment="1" applyProtection="1"/>
    <xf numFmtId="0" fontId="12" fillId="4" borderId="0" xfId="0" applyFont="1" applyFill="1" applyBorder="1" applyAlignment="1" applyProtection="1"/>
    <xf numFmtId="0" fontId="12" fillId="4" borderId="0" xfId="0" quotePrefix="1" applyFont="1" applyFill="1" applyBorder="1" applyProtection="1"/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  <xf numFmtId="0" fontId="0" fillId="0" borderId="0" xfId="0" applyFill="1" applyBorder="1" applyAlignment="1" applyProtection="1"/>
    <xf numFmtId="3" fontId="0" fillId="0" borderId="0" xfId="0" applyNumberFormat="1" applyFill="1" applyBorder="1" applyAlignment="1" applyProtection="1"/>
    <xf numFmtId="16" fontId="0" fillId="4" borderId="0" xfId="0" applyNumberFormat="1" applyFill="1" applyBorder="1" applyAlignment="1" applyProtection="1">
      <alignment vertical="center"/>
    </xf>
    <xf numFmtId="166" fontId="0" fillId="0" borderId="0" xfId="0" applyNumberFormat="1" applyFill="1" applyBorder="1" applyAlignment="1" applyProtection="1"/>
    <xf numFmtId="16" fontId="0" fillId="4" borderId="0" xfId="0" applyNumberFormat="1" applyFill="1" applyBorder="1" applyAlignment="1" applyProtection="1"/>
    <xf numFmtId="10" fontId="0" fillId="0" borderId="0" xfId="1" applyNumberFormat="1" applyFont="1" applyFill="1" applyBorder="1" applyAlignment="1" applyProtection="1"/>
    <xf numFmtId="170" fontId="6" fillId="4" borderId="0" xfId="0" applyNumberFormat="1" applyFont="1" applyFill="1" applyBorder="1" applyAlignment="1" applyProtection="1">
      <alignment vertical="center"/>
    </xf>
    <xf numFmtId="0" fontId="16" fillId="4" borderId="0" xfId="0" applyFont="1" applyFill="1" applyBorder="1" applyProtection="1"/>
    <xf numFmtId="0" fontId="17" fillId="4" borderId="0" xfId="2" applyFont="1" applyFill="1" applyBorder="1" applyAlignment="1" applyProtection="1">
      <alignment vertical="center"/>
    </xf>
    <xf numFmtId="0" fontId="18" fillId="4" borderId="0" xfId="2" applyFont="1" applyFill="1" applyBorder="1" applyAlignment="1" applyProtection="1"/>
    <xf numFmtId="0" fontId="12" fillId="4" borderId="5" xfId="0" applyFont="1" applyFill="1" applyBorder="1" applyProtection="1"/>
    <xf numFmtId="0" fontId="5" fillId="0" borderId="0" xfId="0" applyFont="1" applyProtection="1"/>
    <xf numFmtId="166" fontId="0" fillId="0" borderId="0" xfId="0" applyNumberFormat="1" applyFill="1" applyProtection="1"/>
    <xf numFmtId="0" fontId="0" fillId="0" borderId="0" xfId="0" applyAlignment="1" applyProtection="1">
      <alignment horizontal="center"/>
    </xf>
    <xf numFmtId="0" fontId="10" fillId="2" borderId="0" xfId="0" applyFont="1" applyFill="1"/>
    <xf numFmtId="0" fontId="10" fillId="5" borderId="0" xfId="0" applyFont="1" applyFill="1"/>
    <xf numFmtId="0" fontId="10" fillId="8" borderId="0" xfId="0" applyFont="1" applyFill="1"/>
    <xf numFmtId="0" fontId="10" fillId="9" borderId="0" xfId="0" applyFont="1" applyFill="1"/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166" fontId="0" fillId="4" borderId="0" xfId="0" applyNumberForma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 vertical="center"/>
    </xf>
    <xf numFmtId="0" fontId="0" fillId="4" borderId="0" xfId="0" quotePrefix="1" applyFill="1" applyBorder="1" applyProtection="1"/>
    <xf numFmtId="168" fontId="0" fillId="4" borderId="0" xfId="0" applyNumberFormat="1" applyFill="1" applyBorder="1" applyAlignment="1" applyProtection="1"/>
    <xf numFmtId="0" fontId="17" fillId="4" borderId="0" xfId="2" applyFill="1" applyBorder="1" applyAlignment="1" applyProtection="1">
      <alignment vertical="center"/>
    </xf>
    <xf numFmtId="0" fontId="19" fillId="4" borderId="0" xfId="0" applyFont="1" applyFill="1" applyBorder="1" applyAlignment="1" applyProtection="1"/>
    <xf numFmtId="170" fontId="6" fillId="9" borderId="0" xfId="0" applyNumberFormat="1" applyFont="1" applyFill="1" applyBorder="1" applyAlignment="1" applyProtection="1">
      <alignment vertical="center"/>
    </xf>
    <xf numFmtId="0" fontId="0" fillId="9" borderId="0" xfId="0" applyFill="1" applyBorder="1" applyProtection="1"/>
    <xf numFmtId="0" fontId="17" fillId="9" borderId="0" xfId="2" applyFill="1" applyBorder="1" applyAlignment="1" applyProtection="1">
      <alignment vertical="center"/>
    </xf>
    <xf numFmtId="0" fontId="19" fillId="9" borderId="0" xfId="0" applyFont="1" applyFill="1" applyBorder="1" applyAlignment="1" applyProtection="1"/>
    <xf numFmtId="0" fontId="12" fillId="4" borderId="0" xfId="0" applyFont="1" applyFill="1" applyAlignment="1" applyProtection="1"/>
    <xf numFmtId="0" fontId="0" fillId="9" borderId="0" xfId="0" applyFill="1" applyBorder="1" applyProtection="1">
      <protection hidden="1"/>
    </xf>
    <xf numFmtId="0" fontId="10" fillId="9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4" borderId="37" xfId="0" applyFill="1" applyBorder="1" applyProtection="1"/>
    <xf numFmtId="0" fontId="0" fillId="4" borderId="1" xfId="0" applyFill="1" applyBorder="1" applyProtection="1"/>
    <xf numFmtId="0" fontId="0" fillId="4" borderId="5" xfId="0" applyFill="1" applyBorder="1" applyProtection="1"/>
    <xf numFmtId="0" fontId="0" fillId="4" borderId="6" xfId="0" applyFill="1" applyBorder="1" applyProtection="1"/>
    <xf numFmtId="0" fontId="0" fillId="4" borderId="38" xfId="0" applyFill="1" applyBorder="1" applyProtection="1"/>
    <xf numFmtId="0" fontId="0" fillId="4" borderId="22" xfId="0" applyFill="1" applyBorder="1" applyAlignment="1" applyProtection="1">
      <alignment horizontal="center" vertical="center"/>
    </xf>
    <xf numFmtId="0" fontId="0" fillId="4" borderId="35" xfId="0" applyFill="1" applyBorder="1" applyProtection="1"/>
    <xf numFmtId="0" fontId="24" fillId="4" borderId="0" xfId="0" applyFont="1" applyFill="1" applyBorder="1" applyProtection="1"/>
    <xf numFmtId="164" fontId="24" fillId="4" borderId="0" xfId="0" applyNumberFormat="1" applyFont="1" applyFill="1" applyBorder="1" applyAlignment="1" applyProtection="1"/>
    <xf numFmtId="0" fontId="24" fillId="4" borderId="0" xfId="0" applyFont="1" applyFill="1" applyBorder="1" applyAlignment="1" applyProtection="1">
      <alignment horizontal="center"/>
    </xf>
    <xf numFmtId="0" fontId="0" fillId="4" borderId="8" xfId="0" applyFill="1" applyBorder="1" applyAlignment="1" applyProtection="1"/>
    <xf numFmtId="0" fontId="0" fillId="4" borderId="24" xfId="0" applyFill="1" applyBorder="1" applyAlignment="1" applyProtection="1"/>
    <xf numFmtId="0" fontId="7" fillId="4" borderId="1" xfId="0" applyFont="1" applyFill="1" applyBorder="1" applyAlignment="1" applyProtection="1">
      <alignment horizontal="center"/>
    </xf>
    <xf numFmtId="166" fontId="5" fillId="4" borderId="3" xfId="0" applyNumberFormat="1" applyFont="1" applyFill="1" applyBorder="1" applyAlignment="1" applyProtection="1">
      <alignment horizontal="center"/>
    </xf>
    <xf numFmtId="0" fontId="0" fillId="4" borderId="40" xfId="0" applyFill="1" applyBorder="1" applyProtection="1"/>
    <xf numFmtId="0" fontId="0" fillId="4" borderId="4" xfId="0" applyFill="1" applyBorder="1" applyAlignment="1" applyProtection="1"/>
    <xf numFmtId="0" fontId="19" fillId="4" borderId="0" xfId="0" applyFont="1" applyFill="1" applyBorder="1" applyProtection="1"/>
    <xf numFmtId="0" fontId="5" fillId="4" borderId="0" xfId="0" applyFont="1" applyFill="1" applyBorder="1" applyProtection="1"/>
    <xf numFmtId="0" fontId="0" fillId="4" borderId="0" xfId="0" applyFill="1" applyBorder="1" applyAlignment="1" applyProtection="1">
      <alignment horizontal="center"/>
    </xf>
    <xf numFmtId="166" fontId="0" fillId="4" borderId="0" xfId="0" applyNumberFormat="1" applyFill="1" applyBorder="1" applyAlignment="1" applyProtection="1">
      <alignment horizontal="center"/>
    </xf>
    <xf numFmtId="0" fontId="0" fillId="4" borderId="24" xfId="0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0" fontId="6" fillId="4" borderId="12" xfId="0" applyFont="1" applyFill="1" applyBorder="1" applyAlignment="1" applyProtection="1">
      <alignment vertical="center"/>
    </xf>
    <xf numFmtId="0" fontId="6" fillId="4" borderId="7" xfId="0" applyFont="1" applyFill="1" applyBorder="1" applyAlignment="1" applyProtection="1">
      <alignment vertical="center"/>
    </xf>
    <xf numFmtId="166" fontId="5" fillId="4" borderId="5" xfId="0" applyNumberFormat="1" applyFont="1" applyFill="1" applyBorder="1" applyAlignment="1" applyProtection="1">
      <alignment horizontal="center"/>
    </xf>
    <xf numFmtId="166" fontId="0" fillId="4" borderId="24" xfId="0" applyNumberFormat="1" applyFill="1" applyBorder="1" applyAlignment="1" applyProtection="1">
      <alignment horizontal="center"/>
    </xf>
    <xf numFmtId="0" fontId="0" fillId="4" borderId="0" xfId="0" applyFill="1" applyProtection="1"/>
    <xf numFmtId="0" fontId="0" fillId="4" borderId="0" xfId="0" applyFill="1" applyBorder="1" applyAlignment="1" applyProtection="1">
      <alignment horizontal="center"/>
    </xf>
    <xf numFmtId="3" fontId="24" fillId="4" borderId="0" xfId="0" applyNumberFormat="1" applyFont="1" applyFill="1" applyBorder="1" applyAlignment="1" applyProtection="1"/>
    <xf numFmtId="0" fontId="10" fillId="9" borderId="0" xfId="0" applyFont="1" applyFill="1" applyProtection="1">
      <protection locked="0"/>
    </xf>
    <xf numFmtId="0" fontId="19" fillId="9" borderId="0" xfId="0" applyFont="1" applyFill="1" applyBorder="1" applyProtection="1"/>
    <xf numFmtId="0" fontId="0" fillId="6" borderId="0" xfId="0" applyFill="1"/>
    <xf numFmtId="0" fontId="0" fillId="4" borderId="0" xfId="0" applyFill="1"/>
    <xf numFmtId="0" fontId="12" fillId="4" borderId="0" xfId="0" applyFont="1" applyFill="1"/>
    <xf numFmtId="0" fontId="0" fillId="4" borderId="0" xfId="0" applyFill="1" applyBorder="1" applyAlignment="1" applyProtection="1">
      <alignment horizontal="center"/>
    </xf>
    <xf numFmtId="2" fontId="24" fillId="4" borderId="0" xfId="0" applyNumberFormat="1" applyFont="1" applyFill="1" applyBorder="1" applyAlignment="1" applyProtection="1">
      <alignment horizontal="center"/>
    </xf>
    <xf numFmtId="2" fontId="0" fillId="4" borderId="0" xfId="0" applyNumberForma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4" borderId="19" xfId="0" applyFill="1" applyBorder="1" applyAlignment="1" applyProtection="1">
      <alignment horizontal="center"/>
    </xf>
    <xf numFmtId="164" fontId="22" fillId="4" borderId="32" xfId="0" applyNumberFormat="1" applyFon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10" fontId="0" fillId="10" borderId="0" xfId="1" applyNumberFormat="1" applyFont="1" applyFill="1" applyBorder="1" applyAlignment="1" applyProtection="1">
      <alignment horizontal="center"/>
    </xf>
    <xf numFmtId="164" fontId="22" fillId="0" borderId="26" xfId="0" applyNumberFormat="1" applyFont="1" applyFill="1" applyBorder="1" applyAlignment="1" applyProtection="1">
      <alignment horizontal="center"/>
    </xf>
    <xf numFmtId="164" fontId="22" fillId="0" borderId="27" xfId="0" applyNumberFormat="1" applyFont="1" applyFill="1" applyBorder="1" applyAlignment="1" applyProtection="1">
      <alignment horizontal="center"/>
    </xf>
    <xf numFmtId="164" fontId="22" fillId="0" borderId="28" xfId="0" applyNumberFormat="1" applyFont="1" applyFill="1" applyBorder="1" applyAlignment="1" applyProtection="1">
      <alignment horizontal="center"/>
    </xf>
    <xf numFmtId="0" fontId="0" fillId="4" borderId="24" xfId="0" applyFill="1" applyBorder="1" applyAlignment="1" applyProtection="1">
      <alignment horizontal="center"/>
    </xf>
    <xf numFmtId="0" fontId="0" fillId="4" borderId="39" xfId="0" applyFill="1" applyBorder="1" applyAlignment="1" applyProtection="1">
      <alignment horizontal="center"/>
    </xf>
    <xf numFmtId="166" fontId="0" fillId="4" borderId="0" xfId="0" applyNumberForma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164" fontId="0" fillId="5" borderId="34" xfId="0" applyNumberFormat="1" applyFill="1" applyBorder="1" applyAlignment="1" applyProtection="1">
      <alignment horizontal="center"/>
      <protection locked="0"/>
    </xf>
    <xf numFmtId="164" fontId="0" fillId="5" borderId="35" xfId="0" applyNumberFormat="1" applyFill="1" applyBorder="1" applyAlignment="1" applyProtection="1">
      <alignment horizontal="center"/>
      <protection locked="0"/>
    </xf>
    <xf numFmtId="164" fontId="0" fillId="5" borderId="36" xfId="0" applyNumberFormat="1" applyFill="1" applyBorder="1" applyAlignment="1" applyProtection="1">
      <alignment horizontal="center"/>
      <protection locked="0"/>
    </xf>
    <xf numFmtId="16" fontId="0" fillId="4" borderId="29" xfId="0" applyNumberFormat="1" applyFill="1" applyBorder="1" applyAlignment="1" applyProtection="1">
      <alignment horizontal="center"/>
    </xf>
    <xf numFmtId="0" fontId="0" fillId="4" borderId="29" xfId="0" applyFill="1" applyBorder="1" applyAlignment="1" applyProtection="1">
      <alignment horizontal="center"/>
    </xf>
    <xf numFmtId="165" fontId="12" fillId="4" borderId="0" xfId="0" applyNumberFormat="1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16" fontId="13" fillId="4" borderId="0" xfId="0" applyNumberFormat="1" applyFont="1" applyFill="1" applyBorder="1" applyAlignment="1" applyProtection="1">
      <alignment horizontal="center" vertical="center"/>
    </xf>
    <xf numFmtId="165" fontId="0" fillId="4" borderId="0" xfId="0" applyNumberFormat="1" applyFill="1" applyBorder="1" applyAlignment="1" applyProtection="1">
      <alignment horizontal="center"/>
    </xf>
    <xf numFmtId="164" fontId="0" fillId="5" borderId="0" xfId="0" applyNumberFormat="1" applyFill="1" applyBorder="1" applyAlignment="1" applyProtection="1">
      <alignment horizontal="center"/>
      <protection locked="0"/>
    </xf>
    <xf numFmtId="16" fontId="0" fillId="4" borderId="32" xfId="0" applyNumberFormat="1" applyFill="1" applyBorder="1" applyAlignment="1" applyProtection="1">
      <alignment horizontal="center"/>
    </xf>
    <xf numFmtId="16" fontId="0" fillId="4" borderId="33" xfId="0" applyNumberFormat="1" applyFill="1" applyBorder="1" applyAlignment="1" applyProtection="1">
      <alignment horizontal="center"/>
    </xf>
    <xf numFmtId="16" fontId="0" fillId="4" borderId="31" xfId="0" applyNumberFormat="1" applyFill="1" applyBorder="1" applyAlignment="1" applyProtection="1">
      <alignment horizontal="center"/>
    </xf>
    <xf numFmtId="167" fontId="0" fillId="5" borderId="19" xfId="0" applyNumberFormat="1" applyFill="1" applyBorder="1" applyAlignment="1" applyProtection="1">
      <alignment horizontal="center"/>
      <protection locked="0"/>
    </xf>
    <xf numFmtId="3" fontId="0" fillId="2" borderId="19" xfId="0" applyNumberFormat="1" applyFill="1" applyBorder="1" applyAlignment="1" applyProtection="1">
      <alignment horizontal="center"/>
      <protection locked="0"/>
    </xf>
    <xf numFmtId="0" fontId="0" fillId="3" borderId="19" xfId="0" quotePrefix="1" applyFill="1" applyBorder="1" applyAlignment="1" applyProtection="1">
      <alignment horizontal="center"/>
    </xf>
    <xf numFmtId="0" fontId="12" fillId="4" borderId="24" xfId="0" applyFont="1" applyFill="1" applyBorder="1" applyAlignment="1" applyProtection="1">
      <alignment horizontal="center"/>
    </xf>
    <xf numFmtId="0" fontId="12" fillId="4" borderId="6" xfId="0" applyFont="1" applyFill="1" applyBorder="1" applyAlignment="1" applyProtection="1">
      <alignment horizontal="center"/>
    </xf>
    <xf numFmtId="0" fontId="0" fillId="4" borderId="13" xfId="0" applyFill="1" applyBorder="1" applyAlignment="1" applyProtection="1">
      <alignment horizontal="center"/>
    </xf>
    <xf numFmtId="169" fontId="0" fillId="10" borderId="0" xfId="1" applyNumberFormat="1" applyFont="1" applyFill="1" applyBorder="1" applyAlignment="1" applyProtection="1">
      <alignment horizontal="center"/>
    </xf>
    <xf numFmtId="4" fontId="0" fillId="5" borderId="30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</xf>
    <xf numFmtId="3" fontId="0" fillId="3" borderId="30" xfId="0" applyNumberForma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right" vertical="center"/>
    </xf>
    <xf numFmtId="0" fontId="0" fillId="4" borderId="15" xfId="0" applyFill="1" applyBorder="1" applyAlignment="1" applyProtection="1">
      <alignment horizontal="right" vertical="center"/>
    </xf>
    <xf numFmtId="0" fontId="0" fillId="4" borderId="7" xfId="0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0" fontId="0" fillId="4" borderId="7" xfId="0" applyFill="1" applyBorder="1" applyAlignment="1" applyProtection="1">
      <alignment horizontal="center"/>
    </xf>
    <xf numFmtId="166" fontId="0" fillId="4" borderId="7" xfId="0" applyNumberFormat="1" applyFill="1" applyBorder="1" applyAlignment="1" applyProtection="1">
      <alignment horizontal="center"/>
    </xf>
    <xf numFmtId="3" fontId="0" fillId="4" borderId="3" xfId="0" applyNumberFormat="1" applyFill="1" applyBorder="1" applyAlignment="1" applyProtection="1">
      <alignment horizontal="center"/>
    </xf>
    <xf numFmtId="3" fontId="0" fillId="4" borderId="0" xfId="0" applyNumberFormat="1" applyFill="1" applyBorder="1" applyAlignment="1" applyProtection="1">
      <alignment horizontal="center"/>
    </xf>
    <xf numFmtId="166" fontId="0" fillId="4" borderId="3" xfId="0" applyNumberFormat="1" applyFill="1" applyBorder="1" applyAlignment="1" applyProtection="1">
      <alignment horizontal="center"/>
    </xf>
    <xf numFmtId="3" fontId="0" fillId="3" borderId="19" xfId="0" applyNumberForma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164" fontId="24" fillId="4" borderId="0" xfId="0" applyNumberFormat="1" applyFont="1" applyFill="1" applyBorder="1" applyAlignment="1" applyProtection="1">
      <alignment horizontal="center"/>
    </xf>
    <xf numFmtId="0" fontId="24" fillId="4" borderId="0" xfId="0" applyFont="1" applyFill="1" applyBorder="1" applyAlignment="1" applyProtection="1">
      <alignment horizontal="center"/>
    </xf>
    <xf numFmtId="0" fontId="0" fillId="4" borderId="17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166" fontId="3" fillId="4" borderId="0" xfId="0" applyNumberFormat="1" applyFont="1" applyFill="1" applyBorder="1" applyAlignment="1" applyProtection="1">
      <alignment horizontal="center" vertical="center" textRotation="90"/>
    </xf>
    <xf numFmtId="0" fontId="0" fillId="4" borderId="15" xfId="0" applyFill="1" applyBorder="1" applyAlignment="1" applyProtection="1">
      <alignment horizontal="center"/>
    </xf>
    <xf numFmtId="3" fontId="0" fillId="2" borderId="17" xfId="0" applyNumberFormat="1" applyFill="1" applyBorder="1" applyAlignment="1" applyProtection="1">
      <alignment horizontal="center"/>
      <protection locked="0"/>
    </xf>
    <xf numFmtId="4" fontId="0" fillId="2" borderId="19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 textRotation="90"/>
    </xf>
    <xf numFmtId="0" fontId="3" fillId="4" borderId="0" xfId="0" applyFont="1" applyFill="1" applyBorder="1" applyAlignment="1" applyProtection="1">
      <alignment horizontal="center" vertical="center" textRotation="90"/>
    </xf>
    <xf numFmtId="0" fontId="0" fillId="4" borderId="26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/>
    </xf>
    <xf numFmtId="0" fontId="0" fillId="4" borderId="28" xfId="0" applyFill="1" applyBorder="1" applyAlignment="1" applyProtection="1">
      <alignment horizontal="center"/>
    </xf>
    <xf numFmtId="0" fontId="0" fillId="0" borderId="26" xfId="0" applyFill="1" applyBorder="1" applyAlignment="1" applyProtection="1">
      <alignment horizontal="center"/>
    </xf>
    <xf numFmtId="0" fontId="0" fillId="0" borderId="27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166" fontId="0" fillId="5" borderId="26" xfId="0" applyNumberFormat="1" applyFill="1" applyBorder="1" applyAlignment="1" applyProtection="1">
      <alignment horizontal="center"/>
      <protection locked="0"/>
    </xf>
    <xf numFmtId="166" fontId="0" fillId="5" borderId="27" xfId="0" applyNumberFormat="1" applyFill="1" applyBorder="1" applyAlignment="1" applyProtection="1">
      <alignment horizontal="center"/>
      <protection locked="0"/>
    </xf>
    <xf numFmtId="166" fontId="0" fillId="5" borderId="28" xfId="0" applyNumberFormat="1" applyFill="1" applyBorder="1" applyAlignment="1" applyProtection="1">
      <alignment horizontal="center"/>
      <protection locked="0"/>
    </xf>
    <xf numFmtId="166" fontId="0" fillId="3" borderId="19" xfId="0" applyNumberFormat="1" applyFill="1" applyBorder="1" applyAlignment="1" applyProtection="1">
      <alignment horizontal="center"/>
    </xf>
    <xf numFmtId="3" fontId="0" fillId="5" borderId="19" xfId="0" applyNumberFormat="1" applyFill="1" applyBorder="1" applyAlignment="1" applyProtection="1">
      <alignment horizontal="center"/>
      <protection locked="0"/>
    </xf>
    <xf numFmtId="0" fontId="0" fillId="8" borderId="19" xfId="0" applyFill="1" applyBorder="1" applyAlignment="1" applyProtection="1">
      <alignment horizontal="center"/>
      <protection locked="0"/>
    </xf>
    <xf numFmtId="0" fontId="6" fillId="8" borderId="12" xfId="0" applyFont="1" applyFill="1" applyBorder="1" applyAlignment="1" applyProtection="1">
      <alignment horizontal="center" vertical="center"/>
      <protection locked="0"/>
    </xf>
    <xf numFmtId="0" fontId="6" fillId="8" borderId="13" xfId="0" applyFont="1" applyFill="1" applyBorder="1" applyAlignment="1" applyProtection="1">
      <alignment horizontal="center" vertical="center"/>
      <protection locked="0"/>
    </xf>
    <xf numFmtId="0" fontId="6" fillId="8" borderId="14" xfId="0" applyFont="1" applyFill="1" applyBorder="1" applyAlignment="1" applyProtection="1">
      <alignment horizontal="center" vertical="center"/>
      <protection locked="0"/>
    </xf>
    <xf numFmtId="0" fontId="6" fillId="8" borderId="16" xfId="0" applyFont="1" applyFill="1" applyBorder="1" applyAlignment="1" applyProtection="1">
      <alignment horizontal="center" vertical="center"/>
      <protection locked="0"/>
    </xf>
    <xf numFmtId="0" fontId="6" fillId="8" borderId="17" xfId="0" applyFont="1" applyFill="1" applyBorder="1" applyAlignment="1" applyProtection="1">
      <alignment horizontal="center" vertical="center"/>
      <protection locked="0"/>
    </xf>
    <xf numFmtId="0" fontId="6" fillId="8" borderId="18" xfId="0" applyFont="1" applyFill="1" applyBorder="1" applyAlignment="1" applyProtection="1">
      <alignment horizontal="center" vertical="center"/>
      <protection locked="0"/>
    </xf>
    <xf numFmtId="0" fontId="5" fillId="4" borderId="27" xfId="0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center" vertical="center" textRotation="90"/>
    </xf>
    <xf numFmtId="0" fontId="6" fillId="3" borderId="0" xfId="0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left"/>
    </xf>
    <xf numFmtId="166" fontId="0" fillId="3" borderId="0" xfId="0" applyNumberForma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8" borderId="13" xfId="0" applyFill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8" borderId="16" xfId="0" applyFill="1" applyBorder="1" applyAlignment="1" applyProtection="1">
      <alignment horizontal="center" vertical="center"/>
      <protection locked="0"/>
    </xf>
    <xf numFmtId="0" fontId="0" fillId="8" borderId="17" xfId="0" applyFill="1" applyBorder="1" applyAlignment="1" applyProtection="1">
      <alignment horizontal="center" vertical="center"/>
      <protection locked="0"/>
    </xf>
    <xf numFmtId="0" fontId="0" fillId="8" borderId="18" xfId="0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right"/>
    </xf>
    <xf numFmtId="4" fontId="0" fillId="3" borderId="0" xfId="0" applyNumberFormat="1" applyFill="1" applyBorder="1" applyAlignment="1" applyProtection="1">
      <alignment horizontal="center"/>
    </xf>
    <xf numFmtId="0" fontId="0" fillId="4" borderId="20" xfId="0" applyFill="1" applyBorder="1" applyAlignment="1" applyProtection="1">
      <alignment horizontal="center" vertical="center"/>
    </xf>
    <xf numFmtId="1" fontId="0" fillId="4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25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23" fillId="9" borderId="0" xfId="0" applyFont="1" applyFill="1" applyBorder="1" applyAlignment="1" applyProtection="1">
      <alignment horizontal="center"/>
    </xf>
    <xf numFmtId="0" fontId="23" fillId="9" borderId="0" xfId="0" applyFont="1" applyFill="1" applyAlignment="1" applyProtection="1">
      <alignment horizontal="center"/>
    </xf>
    <xf numFmtId="0" fontId="20" fillId="7" borderId="0" xfId="0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'LF353'!$AF$21:$BD$21</c:f>
          <c:strCache>
            <c:ptCount val="1"/>
            <c:pt idx="0">
              <c:v>Characteristic of the sensing element Pt100</c:v>
            </c:pt>
          </c:strCache>
        </c:strRef>
      </c:tx>
      <c:layout>
        <c:manualLayout>
          <c:xMode val="edge"/>
          <c:yMode val="edge"/>
          <c:x val="0.35296499110389257"/>
          <c:y val="4.243003274950893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2770270270270271E-2"/>
          <c:y val="0.15183498160343994"/>
          <c:w val="0.78196910773131256"/>
          <c:h val="0.69675386002465511"/>
        </c:manualLayout>
      </c:layout>
      <c:lineChart>
        <c:grouping val="standard"/>
        <c:ser>
          <c:idx val="0"/>
          <c:order val="0"/>
          <c:tx>
            <c:strRef>
              <c:f>'LF353'!$D$2</c:f>
              <c:strCache>
                <c:ptCount val="1"/>
                <c:pt idx="0">
                  <c:v>Resistance [Ω]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numRef>
              <c:f>'LF353'!$B$5:$B$115</c:f>
              <c:numCache>
                <c:formatCode>General</c:formatCod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110</c:v>
                </c:pt>
                <c:pt idx="102">
                  <c:v>120</c:v>
                </c:pt>
                <c:pt idx="103">
                  <c:v>130</c:v>
                </c:pt>
                <c:pt idx="104">
                  <c:v>140</c:v>
                </c:pt>
                <c:pt idx="105">
                  <c:v>150</c:v>
                </c:pt>
                <c:pt idx="106">
                  <c:v>160</c:v>
                </c:pt>
                <c:pt idx="107">
                  <c:v>170</c:v>
                </c:pt>
                <c:pt idx="108">
                  <c:v>180</c:v>
                </c:pt>
                <c:pt idx="109">
                  <c:v>190</c:v>
                </c:pt>
                <c:pt idx="110">
                  <c:v>200</c:v>
                </c:pt>
              </c:numCache>
            </c:numRef>
          </c:cat>
          <c:val>
            <c:numRef>
              <c:f>'LF353'!$C$5:$C$115</c:f>
              <c:numCache>
                <c:formatCode>0.000</c:formatCode>
                <c:ptCount val="111"/>
                <c:pt idx="0">
                  <c:v>100</c:v>
                </c:pt>
                <c:pt idx="1">
                  <c:v>100.39100000000001</c:v>
                </c:pt>
                <c:pt idx="2">
                  <c:v>100.78100000000001</c:v>
                </c:pt>
                <c:pt idx="3">
                  <c:v>101.172</c:v>
                </c:pt>
                <c:pt idx="4">
                  <c:v>101.562</c:v>
                </c:pt>
                <c:pt idx="5">
                  <c:v>101.953</c:v>
                </c:pt>
                <c:pt idx="6">
                  <c:v>102.343</c:v>
                </c:pt>
                <c:pt idx="7">
                  <c:v>102.733</c:v>
                </c:pt>
                <c:pt idx="8">
                  <c:v>103.123</c:v>
                </c:pt>
                <c:pt idx="9">
                  <c:v>103.51300000000001</c:v>
                </c:pt>
                <c:pt idx="10">
                  <c:v>103.90300000000001</c:v>
                </c:pt>
                <c:pt idx="11">
                  <c:v>104.292</c:v>
                </c:pt>
                <c:pt idx="12">
                  <c:v>104.682</c:v>
                </c:pt>
                <c:pt idx="13">
                  <c:v>105.071</c:v>
                </c:pt>
                <c:pt idx="14">
                  <c:v>105.46</c:v>
                </c:pt>
                <c:pt idx="15">
                  <c:v>105.85899999999999</c:v>
                </c:pt>
                <c:pt idx="16">
                  <c:v>106.238</c:v>
                </c:pt>
                <c:pt idx="17">
                  <c:v>106.627</c:v>
                </c:pt>
                <c:pt idx="18">
                  <c:v>107.01600000000001</c:v>
                </c:pt>
                <c:pt idx="19">
                  <c:v>107.405</c:v>
                </c:pt>
                <c:pt idx="20">
                  <c:v>107.794</c:v>
                </c:pt>
                <c:pt idx="21">
                  <c:v>108.182</c:v>
                </c:pt>
                <c:pt idx="22">
                  <c:v>108.57</c:v>
                </c:pt>
                <c:pt idx="23">
                  <c:v>108.959</c:v>
                </c:pt>
                <c:pt idx="24">
                  <c:v>109.34699999999999</c:v>
                </c:pt>
                <c:pt idx="25">
                  <c:v>109.735</c:v>
                </c:pt>
                <c:pt idx="26">
                  <c:v>110.123</c:v>
                </c:pt>
                <c:pt idx="27">
                  <c:v>110.51</c:v>
                </c:pt>
                <c:pt idx="28">
                  <c:v>110.898</c:v>
                </c:pt>
                <c:pt idx="29">
                  <c:v>111.286</c:v>
                </c:pt>
                <c:pt idx="30">
                  <c:v>111.673</c:v>
                </c:pt>
                <c:pt idx="31">
                  <c:v>112.06</c:v>
                </c:pt>
                <c:pt idx="32">
                  <c:v>112.447</c:v>
                </c:pt>
                <c:pt idx="33">
                  <c:v>112.83499999999999</c:v>
                </c:pt>
                <c:pt idx="34">
                  <c:v>113.221</c:v>
                </c:pt>
                <c:pt idx="35">
                  <c:v>113.608</c:v>
                </c:pt>
                <c:pt idx="36">
                  <c:v>113.995</c:v>
                </c:pt>
                <c:pt idx="37">
                  <c:v>114.38200000000001</c:v>
                </c:pt>
                <c:pt idx="38">
                  <c:v>114.768</c:v>
                </c:pt>
                <c:pt idx="39">
                  <c:v>115.155</c:v>
                </c:pt>
                <c:pt idx="40">
                  <c:v>115.541</c:v>
                </c:pt>
                <c:pt idx="41">
                  <c:v>115.92700000000001</c:v>
                </c:pt>
                <c:pt idx="42">
                  <c:v>116.313</c:v>
                </c:pt>
                <c:pt idx="43">
                  <c:v>116.699</c:v>
                </c:pt>
                <c:pt idx="44">
                  <c:v>117.08499999999999</c:v>
                </c:pt>
                <c:pt idx="45">
                  <c:v>117.47</c:v>
                </c:pt>
                <c:pt idx="46">
                  <c:v>117.85599999999999</c:v>
                </c:pt>
                <c:pt idx="47">
                  <c:v>118.241</c:v>
                </c:pt>
                <c:pt idx="48">
                  <c:v>118.627</c:v>
                </c:pt>
                <c:pt idx="49">
                  <c:v>119.012</c:v>
                </c:pt>
                <c:pt idx="50">
                  <c:v>119.39700000000001</c:v>
                </c:pt>
                <c:pt idx="51">
                  <c:v>119.782</c:v>
                </c:pt>
                <c:pt idx="52">
                  <c:v>120.167</c:v>
                </c:pt>
                <c:pt idx="53">
                  <c:v>120.55200000000001</c:v>
                </c:pt>
                <c:pt idx="54">
                  <c:v>120.93600000000001</c:v>
                </c:pt>
                <c:pt idx="55">
                  <c:v>121.321</c:v>
                </c:pt>
                <c:pt idx="56">
                  <c:v>121.705</c:v>
                </c:pt>
                <c:pt idx="57">
                  <c:v>122.09</c:v>
                </c:pt>
                <c:pt idx="58">
                  <c:v>122.474</c:v>
                </c:pt>
                <c:pt idx="59">
                  <c:v>122.858</c:v>
                </c:pt>
                <c:pt idx="60">
                  <c:v>123.242</c:v>
                </c:pt>
                <c:pt idx="61">
                  <c:v>123.626</c:v>
                </c:pt>
                <c:pt idx="62">
                  <c:v>124.009</c:v>
                </c:pt>
                <c:pt idx="63">
                  <c:v>124.393</c:v>
                </c:pt>
                <c:pt idx="64">
                  <c:v>124.777</c:v>
                </c:pt>
                <c:pt idx="65">
                  <c:v>125.16</c:v>
                </c:pt>
                <c:pt idx="66">
                  <c:v>125.54300000000001</c:v>
                </c:pt>
                <c:pt idx="67">
                  <c:v>125.926</c:v>
                </c:pt>
                <c:pt idx="68">
                  <c:v>126.309</c:v>
                </c:pt>
                <c:pt idx="69">
                  <c:v>126.69199999999999</c:v>
                </c:pt>
                <c:pt idx="70">
                  <c:v>127.075</c:v>
                </c:pt>
                <c:pt idx="71">
                  <c:v>127.458</c:v>
                </c:pt>
                <c:pt idx="72">
                  <c:v>127.84</c:v>
                </c:pt>
                <c:pt idx="73">
                  <c:v>128.22300000000001</c:v>
                </c:pt>
                <c:pt idx="74">
                  <c:v>128.60499999999999</c:v>
                </c:pt>
                <c:pt idx="75">
                  <c:v>128.98699999999999</c:v>
                </c:pt>
                <c:pt idx="76">
                  <c:v>129.37</c:v>
                </c:pt>
                <c:pt idx="77">
                  <c:v>129.75200000000001</c:v>
                </c:pt>
                <c:pt idx="78">
                  <c:v>130.13300000000001</c:v>
                </c:pt>
                <c:pt idx="79">
                  <c:v>130.51499999999999</c:v>
                </c:pt>
                <c:pt idx="80">
                  <c:v>130.97</c:v>
                </c:pt>
                <c:pt idx="81">
                  <c:v>131.27799999999999</c:v>
                </c:pt>
                <c:pt idx="82">
                  <c:v>131.66</c:v>
                </c:pt>
                <c:pt idx="83">
                  <c:v>132.041</c:v>
                </c:pt>
                <c:pt idx="84">
                  <c:v>132.422</c:v>
                </c:pt>
                <c:pt idx="85">
                  <c:v>132.803</c:v>
                </c:pt>
                <c:pt idx="86">
                  <c:v>133.184</c:v>
                </c:pt>
                <c:pt idx="87">
                  <c:v>133.565</c:v>
                </c:pt>
                <c:pt idx="88">
                  <c:v>133.946</c:v>
                </c:pt>
                <c:pt idx="89">
                  <c:v>134.32599999999999</c:v>
                </c:pt>
                <c:pt idx="90">
                  <c:v>134.70699999999999</c:v>
                </c:pt>
                <c:pt idx="91">
                  <c:v>135.08699999999999</c:v>
                </c:pt>
                <c:pt idx="92">
                  <c:v>135.46799999999999</c:v>
                </c:pt>
                <c:pt idx="93">
                  <c:v>135.84800000000001</c:v>
                </c:pt>
                <c:pt idx="94">
                  <c:v>136.22800000000001</c:v>
                </c:pt>
                <c:pt idx="95">
                  <c:v>136.608</c:v>
                </c:pt>
                <c:pt idx="96">
                  <c:v>136.98699999999999</c:v>
                </c:pt>
                <c:pt idx="97">
                  <c:v>137.36699999999999</c:v>
                </c:pt>
                <c:pt idx="98">
                  <c:v>137.74700000000001</c:v>
                </c:pt>
                <c:pt idx="99">
                  <c:v>138.126</c:v>
                </c:pt>
                <c:pt idx="100">
                  <c:v>138.506</c:v>
                </c:pt>
                <c:pt idx="101">
                  <c:v>142.29</c:v>
                </c:pt>
                <c:pt idx="102">
                  <c:v>146.07</c:v>
                </c:pt>
                <c:pt idx="103">
                  <c:v>149.83199999999999</c:v>
                </c:pt>
                <c:pt idx="104">
                  <c:v>153.58000000000001</c:v>
                </c:pt>
                <c:pt idx="105">
                  <c:v>157.33000000000001</c:v>
                </c:pt>
                <c:pt idx="106">
                  <c:v>161.05000000000001</c:v>
                </c:pt>
                <c:pt idx="107">
                  <c:v>164.77</c:v>
                </c:pt>
                <c:pt idx="108">
                  <c:v>168.48</c:v>
                </c:pt>
                <c:pt idx="109">
                  <c:v>172.17</c:v>
                </c:pt>
                <c:pt idx="110">
                  <c:v>175.86</c:v>
                </c:pt>
              </c:numCache>
            </c:numRef>
          </c:val>
        </c:ser>
        <c:dLbls>
          <c:showVal val="1"/>
        </c:dLbls>
        <c:marker val="1"/>
        <c:axId val="122648832"/>
        <c:axId val="122659584"/>
      </c:lineChart>
      <c:catAx>
        <c:axId val="122648832"/>
        <c:scaling>
          <c:orientation val="minMax"/>
        </c:scaling>
        <c:axPos val="b"/>
        <c:majorGridlines/>
        <c:title>
          <c:tx>
            <c:strRef>
              <c:f>'LF353'!$B$1</c:f>
              <c:strCache>
                <c:ptCount val="1"/>
                <c:pt idx="0">
                  <c:v>Temperature [°C]</c:v>
                </c:pt>
              </c:strCache>
            </c:strRef>
          </c:tx>
          <c:layout>
            <c:manualLayout>
              <c:xMode val="edge"/>
              <c:yMode val="edge"/>
              <c:x val="0.42222855203159371"/>
              <c:y val="0.91553357819602377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6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2659584"/>
        <c:crosses val="autoZero"/>
        <c:auto val="1"/>
        <c:lblAlgn val="ctr"/>
        <c:lblOffset val="100"/>
        <c:tickLblSkip val="1"/>
        <c:tickMarkSkip val="1"/>
      </c:catAx>
      <c:valAx>
        <c:axId val="122659584"/>
        <c:scaling>
          <c:orientation val="minMax"/>
          <c:min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'LF353'!$D$2</c:f>
              <c:strCache>
                <c:ptCount val="1"/>
                <c:pt idx="0">
                  <c:v>Resistance [Ω]</c:v>
                </c:pt>
              </c:strCache>
            </c:strRef>
          </c:tx>
          <c:layout>
            <c:manualLayout>
              <c:xMode val="edge"/>
              <c:yMode val="edge"/>
              <c:x val="1.5670189776672921E-2"/>
              <c:y val="0.40944959873961034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6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da-DK"/>
            </a:p>
          </c:txPr>
        </c:title>
        <c:numFmt formatCode="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26488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77788259949996"/>
          <c:y val="0.43623457515573238"/>
          <c:w val="0.11268634875777143"/>
          <c:h val="0.2265698321800853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span"/>
  </c:chart>
  <c:spPr>
    <a:solidFill>
      <a:schemeClr val="bg1">
        <a:lumMod val="7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32</xdr:row>
      <xdr:rowOff>114300</xdr:rowOff>
    </xdr:from>
    <xdr:to>
      <xdr:col>25</xdr:col>
      <xdr:colOff>9525</xdr:colOff>
      <xdr:row>32</xdr:row>
      <xdr:rowOff>114300</xdr:rowOff>
    </xdr:to>
    <xdr:cxnSp macro="">
      <xdr:nvCxnSpPr>
        <xdr:cNvPr id="5" name="Lige pilforbindelse 4"/>
        <xdr:cNvCxnSpPr/>
      </xdr:nvCxnSpPr>
      <xdr:spPr>
        <a:xfrm>
          <a:off x="5514975" y="6486525"/>
          <a:ext cx="552450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32</xdr:row>
      <xdr:rowOff>104775</xdr:rowOff>
    </xdr:from>
    <xdr:to>
      <xdr:col>15</xdr:col>
      <xdr:colOff>161925</xdr:colOff>
      <xdr:row>32</xdr:row>
      <xdr:rowOff>104775</xdr:rowOff>
    </xdr:to>
    <xdr:cxnSp macro="">
      <xdr:nvCxnSpPr>
        <xdr:cNvPr id="6" name="Lige pilforbindelse 5"/>
        <xdr:cNvCxnSpPr/>
      </xdr:nvCxnSpPr>
      <xdr:spPr>
        <a:xfrm flipH="1">
          <a:off x="3867150" y="6477000"/>
          <a:ext cx="542925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180974</xdr:colOff>
      <xdr:row>0</xdr:row>
      <xdr:rowOff>38098</xdr:rowOff>
    </xdr:from>
    <xdr:to>
      <xdr:col>78</xdr:col>
      <xdr:colOff>857250</xdr:colOff>
      <xdr:row>19</xdr:row>
      <xdr:rowOff>152399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0</xdr:colOff>
      <xdr:row>65</xdr:row>
      <xdr:rowOff>9525</xdr:rowOff>
    </xdr:from>
    <xdr:to>
      <xdr:col>70</xdr:col>
      <xdr:colOff>0</xdr:colOff>
      <xdr:row>68</xdr:row>
      <xdr:rowOff>9525</xdr:rowOff>
    </xdr:to>
    <xdr:cxnSp macro="">
      <xdr:nvCxnSpPr>
        <xdr:cNvPr id="9" name="Lige forbindelse 8"/>
        <xdr:cNvCxnSpPr/>
      </xdr:nvCxnSpPr>
      <xdr:spPr>
        <a:xfrm>
          <a:off x="12573000" y="6381750"/>
          <a:ext cx="1266825" cy="6000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171450</xdr:colOff>
      <xdr:row>68</xdr:row>
      <xdr:rowOff>9525</xdr:rowOff>
    </xdr:from>
    <xdr:to>
      <xdr:col>70</xdr:col>
      <xdr:colOff>19050</xdr:colOff>
      <xdr:row>71</xdr:row>
      <xdr:rowOff>0</xdr:rowOff>
    </xdr:to>
    <xdr:cxnSp macro="">
      <xdr:nvCxnSpPr>
        <xdr:cNvPr id="10" name="Lige forbindelse 9"/>
        <xdr:cNvCxnSpPr/>
      </xdr:nvCxnSpPr>
      <xdr:spPr>
        <a:xfrm flipV="1">
          <a:off x="12563475" y="6981825"/>
          <a:ext cx="1295400" cy="5619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32</xdr:row>
      <xdr:rowOff>190500</xdr:rowOff>
    </xdr:from>
    <xdr:to>
      <xdr:col>25</xdr:col>
      <xdr:colOff>1</xdr:colOff>
      <xdr:row>34</xdr:row>
      <xdr:rowOff>152400</xdr:rowOff>
    </xdr:to>
    <xdr:cxnSp macro="">
      <xdr:nvCxnSpPr>
        <xdr:cNvPr id="13" name="Lige pilforbindelse 12"/>
        <xdr:cNvCxnSpPr/>
      </xdr:nvCxnSpPr>
      <xdr:spPr>
        <a:xfrm>
          <a:off x="6057900" y="6562725"/>
          <a:ext cx="1" cy="36195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1</xdr:colOff>
      <xdr:row>34</xdr:row>
      <xdr:rowOff>161925</xdr:rowOff>
    </xdr:to>
    <xdr:cxnSp macro="">
      <xdr:nvCxnSpPr>
        <xdr:cNvPr id="15" name="Lige pilforbindelse 14"/>
        <xdr:cNvCxnSpPr/>
      </xdr:nvCxnSpPr>
      <xdr:spPr>
        <a:xfrm>
          <a:off x="3886200" y="6572250"/>
          <a:ext cx="1" cy="36195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43</xdr:row>
      <xdr:rowOff>114300</xdr:rowOff>
    </xdr:from>
    <xdr:to>
      <xdr:col>77</xdr:col>
      <xdr:colOff>28575</xdr:colOff>
      <xdr:row>61</xdr:row>
      <xdr:rowOff>171450</xdr:rowOff>
    </xdr:to>
    <xdr:cxnSp macro="">
      <xdr:nvCxnSpPr>
        <xdr:cNvPr id="12" name="Lige forbindelse 11"/>
        <xdr:cNvCxnSpPr/>
      </xdr:nvCxnSpPr>
      <xdr:spPr>
        <a:xfrm flipV="1">
          <a:off x="15792450" y="8610600"/>
          <a:ext cx="9525" cy="348615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47626</xdr:colOff>
      <xdr:row>43</xdr:row>
      <xdr:rowOff>95250</xdr:rowOff>
    </xdr:from>
    <xdr:to>
      <xdr:col>77</xdr:col>
      <xdr:colOff>38100</xdr:colOff>
      <xdr:row>43</xdr:row>
      <xdr:rowOff>114301</xdr:rowOff>
    </xdr:to>
    <xdr:cxnSp macro="">
      <xdr:nvCxnSpPr>
        <xdr:cNvPr id="17" name="Lige pilforbindelse 16"/>
        <xdr:cNvCxnSpPr/>
      </xdr:nvCxnSpPr>
      <xdr:spPr>
        <a:xfrm flipH="1">
          <a:off x="10572751" y="8591550"/>
          <a:ext cx="5238749" cy="19051"/>
        </a:xfrm>
        <a:prstGeom prst="straightConnector1">
          <a:avLst/>
        </a:prstGeom>
        <a:ln w="19050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85</xdr:row>
      <xdr:rowOff>123825</xdr:rowOff>
    </xdr:from>
    <xdr:to>
      <xdr:col>78</xdr:col>
      <xdr:colOff>1</xdr:colOff>
      <xdr:row>88</xdr:row>
      <xdr:rowOff>190500</xdr:rowOff>
    </xdr:to>
    <xdr:cxnSp macro="">
      <xdr:nvCxnSpPr>
        <xdr:cNvPr id="25" name="Lige forbindelse 24"/>
        <xdr:cNvCxnSpPr/>
      </xdr:nvCxnSpPr>
      <xdr:spPr>
        <a:xfrm flipH="1" flipV="1">
          <a:off x="15954375" y="16659225"/>
          <a:ext cx="1" cy="638175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19050</xdr:colOff>
      <xdr:row>85</xdr:row>
      <xdr:rowOff>114300</xdr:rowOff>
    </xdr:from>
    <xdr:to>
      <xdr:col>78</xdr:col>
      <xdr:colOff>9525</xdr:colOff>
      <xdr:row>85</xdr:row>
      <xdr:rowOff>123826</xdr:rowOff>
    </xdr:to>
    <xdr:cxnSp macro="">
      <xdr:nvCxnSpPr>
        <xdr:cNvPr id="27" name="Lige pilforbindelse 26"/>
        <xdr:cNvCxnSpPr/>
      </xdr:nvCxnSpPr>
      <xdr:spPr>
        <a:xfrm flipH="1">
          <a:off x="14706600" y="16649700"/>
          <a:ext cx="1257300" cy="9526"/>
        </a:xfrm>
        <a:prstGeom prst="straightConnector1">
          <a:avLst/>
        </a:prstGeom>
        <a:ln w="19050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171450</xdr:colOff>
      <xdr:row>35</xdr:row>
      <xdr:rowOff>19050</xdr:rowOff>
    </xdr:from>
    <xdr:to>
      <xdr:col>64</xdr:col>
      <xdr:colOff>171450</xdr:colOff>
      <xdr:row>42</xdr:row>
      <xdr:rowOff>0</xdr:rowOff>
    </xdr:to>
    <xdr:cxnSp macro="">
      <xdr:nvCxnSpPr>
        <xdr:cNvPr id="22" name="Lige pilforbindelse 21"/>
        <xdr:cNvCxnSpPr/>
      </xdr:nvCxnSpPr>
      <xdr:spPr>
        <a:xfrm flipV="1">
          <a:off x="13716000" y="7000875"/>
          <a:ext cx="0" cy="13430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9525</xdr:colOff>
      <xdr:row>35</xdr:row>
      <xdr:rowOff>9525</xdr:rowOff>
    </xdr:from>
    <xdr:to>
      <xdr:col>60</xdr:col>
      <xdr:colOff>9525</xdr:colOff>
      <xdr:row>35</xdr:row>
      <xdr:rowOff>190500</xdr:rowOff>
    </xdr:to>
    <xdr:cxnSp macro="">
      <xdr:nvCxnSpPr>
        <xdr:cNvPr id="28" name="Lige pilforbindelse 27"/>
        <xdr:cNvCxnSpPr/>
      </xdr:nvCxnSpPr>
      <xdr:spPr>
        <a:xfrm>
          <a:off x="12830175" y="6991350"/>
          <a:ext cx="0" cy="18097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171450</xdr:colOff>
      <xdr:row>35</xdr:row>
      <xdr:rowOff>0</xdr:rowOff>
    </xdr:from>
    <xdr:to>
      <xdr:col>65</xdr:col>
      <xdr:colOff>76200</xdr:colOff>
      <xdr:row>35</xdr:row>
      <xdr:rowOff>0</xdr:rowOff>
    </xdr:to>
    <xdr:cxnSp macro="">
      <xdr:nvCxnSpPr>
        <xdr:cNvPr id="30" name="Lige pilforbindelse 29"/>
        <xdr:cNvCxnSpPr/>
      </xdr:nvCxnSpPr>
      <xdr:spPr>
        <a:xfrm>
          <a:off x="13535025" y="6981825"/>
          <a:ext cx="2667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95250</xdr:colOff>
      <xdr:row>35</xdr:row>
      <xdr:rowOff>9525</xdr:rowOff>
    </xdr:from>
    <xdr:to>
      <xdr:col>63</xdr:col>
      <xdr:colOff>95250</xdr:colOff>
      <xdr:row>39</xdr:row>
      <xdr:rowOff>0</xdr:rowOff>
    </xdr:to>
    <xdr:cxnSp macro="">
      <xdr:nvCxnSpPr>
        <xdr:cNvPr id="32" name="Lige forbindelse 31"/>
        <xdr:cNvCxnSpPr/>
      </xdr:nvCxnSpPr>
      <xdr:spPr>
        <a:xfrm flipV="1">
          <a:off x="13458825" y="6991350"/>
          <a:ext cx="0" cy="7715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104775</xdr:colOff>
      <xdr:row>40</xdr:row>
      <xdr:rowOff>20411</xdr:rowOff>
    </xdr:from>
    <xdr:to>
      <xdr:col>63</xdr:col>
      <xdr:colOff>104775</xdr:colOff>
      <xdr:row>41</xdr:row>
      <xdr:rowOff>182336</xdr:rowOff>
    </xdr:to>
    <xdr:cxnSp macro="">
      <xdr:nvCxnSpPr>
        <xdr:cNvPr id="34" name="Lige forbindelse 33"/>
        <xdr:cNvCxnSpPr/>
      </xdr:nvCxnSpPr>
      <xdr:spPr>
        <a:xfrm>
          <a:off x="13616668" y="7953375"/>
          <a:ext cx="0" cy="3524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26194</xdr:colOff>
      <xdr:row>23</xdr:row>
      <xdr:rowOff>184547</xdr:rowOff>
    </xdr:from>
    <xdr:to>
      <xdr:col>53</xdr:col>
      <xdr:colOff>28577</xdr:colOff>
      <xdr:row>24</xdr:row>
      <xdr:rowOff>172641</xdr:rowOff>
    </xdr:to>
    <xdr:cxnSp macro="">
      <xdr:nvCxnSpPr>
        <xdr:cNvPr id="24" name="Lige forbindelse 23"/>
        <xdr:cNvCxnSpPr/>
      </xdr:nvCxnSpPr>
      <xdr:spPr>
        <a:xfrm flipH="1">
          <a:off x="11580019" y="4813697"/>
          <a:ext cx="2383" cy="178594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83344</xdr:colOff>
      <xdr:row>24</xdr:row>
      <xdr:rowOff>171450</xdr:rowOff>
    </xdr:from>
    <xdr:to>
      <xdr:col>53</xdr:col>
      <xdr:colOff>28575</xdr:colOff>
      <xdr:row>24</xdr:row>
      <xdr:rowOff>172641</xdr:rowOff>
    </xdr:to>
    <xdr:cxnSp macro="">
      <xdr:nvCxnSpPr>
        <xdr:cNvPr id="29" name="Lige forbindelse 28"/>
        <xdr:cNvCxnSpPr/>
      </xdr:nvCxnSpPr>
      <xdr:spPr>
        <a:xfrm flipV="1">
          <a:off x="8852297" y="4999434"/>
          <a:ext cx="2624137" cy="1191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88107</xdr:colOff>
      <xdr:row>23</xdr:row>
      <xdr:rowOff>177404</xdr:rowOff>
    </xdr:from>
    <xdr:to>
      <xdr:col>38</xdr:col>
      <xdr:colOff>94060</xdr:colOff>
      <xdr:row>24</xdr:row>
      <xdr:rowOff>153591</xdr:rowOff>
    </xdr:to>
    <xdr:cxnSp macro="">
      <xdr:nvCxnSpPr>
        <xdr:cNvPr id="45" name="Lige pilforbindelse 44"/>
        <xdr:cNvCxnSpPr/>
      </xdr:nvCxnSpPr>
      <xdr:spPr>
        <a:xfrm flipH="1" flipV="1">
          <a:off x="8927307" y="4806554"/>
          <a:ext cx="5953" cy="166687"/>
        </a:xfrm>
        <a:prstGeom prst="straightConnector1">
          <a:avLst/>
        </a:prstGeom>
        <a:ln w="19050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85725</xdr:colOff>
      <xdr:row>51</xdr:row>
      <xdr:rowOff>133351</xdr:rowOff>
    </xdr:from>
    <xdr:to>
      <xdr:col>53</xdr:col>
      <xdr:colOff>95250</xdr:colOff>
      <xdr:row>61</xdr:row>
      <xdr:rowOff>95250</xdr:rowOff>
    </xdr:to>
    <xdr:cxnSp macro="">
      <xdr:nvCxnSpPr>
        <xdr:cNvPr id="23" name="Lige forbindelse 22"/>
        <xdr:cNvCxnSpPr/>
      </xdr:nvCxnSpPr>
      <xdr:spPr>
        <a:xfrm flipV="1">
          <a:off x="11639550" y="10210801"/>
          <a:ext cx="9525" cy="1866899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95250</xdr:colOff>
      <xdr:row>61</xdr:row>
      <xdr:rowOff>105967</xdr:rowOff>
    </xdr:from>
    <xdr:to>
      <xdr:col>56</xdr:col>
      <xdr:colOff>9525</xdr:colOff>
      <xdr:row>61</xdr:row>
      <xdr:rowOff>114300</xdr:rowOff>
    </xdr:to>
    <xdr:cxnSp macro="">
      <xdr:nvCxnSpPr>
        <xdr:cNvPr id="31" name="Lige forbindelse 30"/>
        <xdr:cNvCxnSpPr/>
      </xdr:nvCxnSpPr>
      <xdr:spPr>
        <a:xfrm>
          <a:off x="11649075" y="12088417"/>
          <a:ext cx="457200" cy="8333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95250</xdr:colOff>
      <xdr:row>51</xdr:row>
      <xdr:rowOff>123825</xdr:rowOff>
    </xdr:from>
    <xdr:to>
      <xdr:col>56</xdr:col>
      <xdr:colOff>9525</xdr:colOff>
      <xdr:row>51</xdr:row>
      <xdr:rowOff>123825</xdr:rowOff>
    </xdr:to>
    <xdr:cxnSp macro="">
      <xdr:nvCxnSpPr>
        <xdr:cNvPr id="35" name="Lige pilforbindelse 34"/>
        <xdr:cNvCxnSpPr/>
      </xdr:nvCxnSpPr>
      <xdr:spPr>
        <a:xfrm>
          <a:off x="11649075" y="10201275"/>
          <a:ext cx="457200" cy="0"/>
        </a:xfrm>
        <a:prstGeom prst="straightConnector1">
          <a:avLst/>
        </a:prstGeom>
        <a:ln w="19050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295275</xdr:colOff>
      <xdr:row>35</xdr:row>
      <xdr:rowOff>123826</xdr:rowOff>
    </xdr:from>
    <xdr:to>
      <xdr:col>78</xdr:col>
      <xdr:colOff>295275</xdr:colOff>
      <xdr:row>40</xdr:row>
      <xdr:rowOff>104775</xdr:rowOff>
    </xdr:to>
    <xdr:cxnSp macro="">
      <xdr:nvCxnSpPr>
        <xdr:cNvPr id="40" name="Lige forbindelse 39"/>
        <xdr:cNvCxnSpPr/>
      </xdr:nvCxnSpPr>
      <xdr:spPr>
        <a:xfrm flipV="1">
          <a:off x="16373475" y="7105651"/>
          <a:ext cx="0" cy="962024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104777</xdr:colOff>
      <xdr:row>35</xdr:row>
      <xdr:rowOff>104775</xdr:rowOff>
    </xdr:from>
    <xdr:to>
      <xdr:col>78</xdr:col>
      <xdr:colOff>295275</xdr:colOff>
      <xdr:row>35</xdr:row>
      <xdr:rowOff>114301</xdr:rowOff>
    </xdr:to>
    <xdr:cxnSp macro="">
      <xdr:nvCxnSpPr>
        <xdr:cNvPr id="42" name="Lige pilforbindelse 41"/>
        <xdr:cNvCxnSpPr/>
      </xdr:nvCxnSpPr>
      <xdr:spPr>
        <a:xfrm flipH="1">
          <a:off x="16002002" y="7086600"/>
          <a:ext cx="371473" cy="9526"/>
        </a:xfrm>
        <a:prstGeom prst="straightConnector1">
          <a:avLst/>
        </a:prstGeom>
        <a:ln w="19050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123825</xdr:colOff>
      <xdr:row>40</xdr:row>
      <xdr:rowOff>104775</xdr:rowOff>
    </xdr:from>
    <xdr:to>
      <xdr:col>78</xdr:col>
      <xdr:colOff>304800</xdr:colOff>
      <xdr:row>40</xdr:row>
      <xdr:rowOff>104775</xdr:rowOff>
    </xdr:to>
    <xdr:cxnSp macro="">
      <xdr:nvCxnSpPr>
        <xdr:cNvPr id="46" name="Lige forbindelse 45"/>
        <xdr:cNvCxnSpPr/>
      </xdr:nvCxnSpPr>
      <xdr:spPr>
        <a:xfrm>
          <a:off x="16021050" y="8067675"/>
          <a:ext cx="361950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0</xdr:colOff>
      <xdr:row>82</xdr:row>
      <xdr:rowOff>1</xdr:rowOff>
    </xdr:from>
    <xdr:to>
      <xdr:col>51</xdr:col>
      <xdr:colOff>0</xdr:colOff>
      <xdr:row>101</xdr:row>
      <xdr:rowOff>149488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9950" y="16021051"/>
          <a:ext cx="7781925" cy="381661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</xdr:colOff>
      <xdr:row>54</xdr:row>
      <xdr:rowOff>1</xdr:rowOff>
    </xdr:from>
    <xdr:to>
      <xdr:col>51</xdr:col>
      <xdr:colOff>0</xdr:colOff>
      <xdr:row>79</xdr:row>
      <xdr:rowOff>148314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09952" y="10648951"/>
          <a:ext cx="7781923" cy="494891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2</xdr:row>
      <xdr:rowOff>0</xdr:rowOff>
    </xdr:from>
    <xdr:to>
      <xdr:col>27</xdr:col>
      <xdr:colOff>457200</xdr:colOff>
      <xdr:row>22</xdr:row>
      <xdr:rowOff>109281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43925" y="381000"/>
          <a:ext cx="8372475" cy="5324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13</xdr:col>
      <xdr:colOff>447675</xdr:colOff>
      <xdr:row>22</xdr:row>
      <xdr:rowOff>109281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0"/>
          <a:ext cx="8372475" cy="5324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F115"/>
  <sheetViews>
    <sheetView tabSelected="1" zoomScaleNormal="100" zoomScaleSheetLayoutView="100" workbookViewId="0"/>
  </sheetViews>
  <sheetFormatPr defaultRowHeight="15"/>
  <cols>
    <col min="1" max="1" width="8.5703125" style="72" bestFit="1" customWidth="1"/>
    <col min="2" max="2" width="4" style="58" bestFit="1" customWidth="1"/>
    <col min="3" max="3" width="8.5703125" style="58" bestFit="1" customWidth="1"/>
    <col min="4" max="4" width="8.28515625" style="73" bestFit="1" customWidth="1"/>
    <col min="5" max="5" width="9.42578125" style="53" bestFit="1" customWidth="1"/>
    <col min="6" max="6" width="6.85546875" style="74" bestFit="1" customWidth="1"/>
    <col min="7" max="78" width="2.7109375" style="8" customWidth="1"/>
    <col min="79" max="79" width="13.5703125" style="8" customWidth="1"/>
    <col min="80" max="80" width="9.140625" style="8"/>
    <col min="81" max="81" width="9.140625" style="8" customWidth="1"/>
    <col min="82" max="16384" width="9.140625" style="8"/>
  </cols>
  <sheetData>
    <row r="1" spans="1:79" ht="21" customHeight="1">
      <c r="A1" s="2"/>
      <c r="B1" s="206" t="s">
        <v>19</v>
      </c>
      <c r="C1" s="107" t="str">
        <f>IF($P$23=1,D1,E1)</f>
        <v>Pt100</v>
      </c>
      <c r="D1" s="3" t="s">
        <v>59</v>
      </c>
      <c r="E1" s="3" t="s">
        <v>60</v>
      </c>
      <c r="F1" s="4"/>
      <c r="G1" s="3"/>
      <c r="H1" s="3"/>
      <c r="I1" s="5"/>
      <c r="J1" s="3"/>
      <c r="K1" s="3"/>
      <c r="L1" s="6"/>
      <c r="M1" s="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7"/>
    </row>
    <row r="2" spans="1:79" ht="20.100000000000001" customHeight="1">
      <c r="A2" s="9"/>
      <c r="B2" s="207"/>
      <c r="C2" s="227" t="s">
        <v>61</v>
      </c>
      <c r="D2" s="199" t="s">
        <v>18</v>
      </c>
      <c r="E2" s="199" t="s">
        <v>18</v>
      </c>
      <c r="F2" s="80"/>
      <c r="G2" s="10"/>
      <c r="H2" s="10"/>
      <c r="I2" s="10"/>
      <c r="J2" s="10"/>
      <c r="K2" s="10"/>
      <c r="L2" s="10"/>
      <c r="M2" s="10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1"/>
    </row>
    <row r="3" spans="1:79" ht="20.100000000000001" customHeight="1">
      <c r="A3" s="12">
        <v>0</v>
      </c>
      <c r="B3" s="207"/>
      <c r="C3" s="227"/>
      <c r="D3" s="199"/>
      <c r="E3" s="199"/>
      <c r="F3" s="80" t="s">
        <v>17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1"/>
    </row>
    <row r="4" spans="1:79" ht="20.100000000000001" customHeight="1">
      <c r="A4" s="12">
        <f>+AR24</f>
        <v>100</v>
      </c>
      <c r="B4" s="207"/>
      <c r="C4" s="227"/>
      <c r="D4" s="199"/>
      <c r="E4" s="199"/>
      <c r="F4" s="123" t="s">
        <v>144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</row>
    <row r="5" spans="1:79">
      <c r="A5" s="13">
        <f>VLOOKUP($A$4,$B$5:$F$115,2)</f>
        <v>138.506</v>
      </c>
      <c r="B5" s="79">
        <v>0</v>
      </c>
      <c r="C5" s="108">
        <f>IF($P$23=1,D5,E5)</f>
        <v>100</v>
      </c>
      <c r="D5" s="81">
        <v>100</v>
      </c>
      <c r="E5" s="81">
        <v>1000</v>
      </c>
      <c r="F5" s="81">
        <v>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1"/>
    </row>
    <row r="6" spans="1:79">
      <c r="A6" s="13">
        <f>VLOOKUP($A$4,$B$5:$F$115,5)</f>
        <v>10</v>
      </c>
      <c r="B6" s="79">
        <v>1</v>
      </c>
      <c r="C6" s="108">
        <f t="shared" ref="C6:C69" si="0">IF($P$23=1,D6,E6)</f>
        <v>100.39100000000001</v>
      </c>
      <c r="D6" s="81">
        <v>100.39100000000001</v>
      </c>
      <c r="E6" s="81">
        <v>1003.9100000000001</v>
      </c>
      <c r="F6" s="81">
        <v>0.1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1"/>
    </row>
    <row r="7" spans="1:79">
      <c r="A7" s="13">
        <f>VLOOKUP($A$3,$B$5:$F$115,2)</f>
        <v>100</v>
      </c>
      <c r="B7" s="79">
        <v>2</v>
      </c>
      <c r="C7" s="108">
        <f t="shared" si="0"/>
        <v>100.78100000000001</v>
      </c>
      <c r="D7" s="81">
        <v>100.78100000000001</v>
      </c>
      <c r="E7" s="81">
        <v>1007.8100000000001</v>
      </c>
      <c r="F7" s="81">
        <v>0.2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1"/>
    </row>
    <row r="8" spans="1:79">
      <c r="A8" s="9"/>
      <c r="B8" s="79">
        <v>3</v>
      </c>
      <c r="C8" s="108">
        <f t="shared" si="0"/>
        <v>101.172</v>
      </c>
      <c r="D8" s="81">
        <v>101.172</v>
      </c>
      <c r="E8" s="81">
        <v>1011.72</v>
      </c>
      <c r="F8" s="81">
        <v>0.3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1"/>
    </row>
    <row r="9" spans="1:79">
      <c r="A9" s="14"/>
      <c r="B9" s="79">
        <v>4</v>
      </c>
      <c r="C9" s="108">
        <f t="shared" si="0"/>
        <v>101.562</v>
      </c>
      <c r="D9" s="81">
        <v>101.562</v>
      </c>
      <c r="E9" s="81">
        <v>1015.62</v>
      </c>
      <c r="F9" s="81">
        <v>0.4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1"/>
    </row>
    <row r="10" spans="1:79">
      <c r="A10" s="14"/>
      <c r="B10" s="79">
        <v>5</v>
      </c>
      <c r="C10" s="108">
        <f t="shared" si="0"/>
        <v>101.953</v>
      </c>
      <c r="D10" s="81">
        <v>101.953</v>
      </c>
      <c r="E10" s="81">
        <v>1019.53</v>
      </c>
      <c r="F10" s="81">
        <v>0.5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>
        <v>13</v>
      </c>
      <c r="BD10" s="10"/>
      <c r="BE10" s="10" t="s">
        <v>65</v>
      </c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1"/>
    </row>
    <row r="11" spans="1:79">
      <c r="A11" s="14"/>
      <c r="B11" s="79">
        <v>6</v>
      </c>
      <c r="C11" s="108">
        <f t="shared" si="0"/>
        <v>102.343</v>
      </c>
      <c r="D11" s="81">
        <v>102.343</v>
      </c>
      <c r="E11" s="81">
        <v>1023.4300000000001</v>
      </c>
      <c r="F11" s="81">
        <v>0.6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>
        <v>14</v>
      </c>
      <c r="BD11" s="10"/>
      <c r="BE11" s="10" t="s">
        <v>66</v>
      </c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1"/>
    </row>
    <row r="12" spans="1:79">
      <c r="A12" s="14"/>
      <c r="B12" s="79">
        <v>7</v>
      </c>
      <c r="C12" s="108">
        <f t="shared" si="0"/>
        <v>102.733</v>
      </c>
      <c r="D12" s="81">
        <v>102.733</v>
      </c>
      <c r="E12" s="81">
        <v>1027.33</v>
      </c>
      <c r="F12" s="81">
        <v>0.7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>
        <v>15</v>
      </c>
      <c r="BD12" s="10"/>
      <c r="BE12" s="10" t="s">
        <v>90</v>
      </c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1"/>
    </row>
    <row r="13" spans="1:79">
      <c r="A13" s="14"/>
      <c r="B13" s="79">
        <v>8</v>
      </c>
      <c r="C13" s="108">
        <f t="shared" si="0"/>
        <v>103.123</v>
      </c>
      <c r="D13" s="81">
        <v>103.123</v>
      </c>
      <c r="E13" s="81">
        <v>1031.23</v>
      </c>
      <c r="F13" s="81">
        <v>0.8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5" t="str">
        <f>IF($P$23=1,IF(AND($AY$24&gt;=1,$AY$24&lt;=3),$BE$12,$BE$13))</f>
        <v>Pt100 arbejdspunkt er inden for grænse værdierne</v>
      </c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>
        <v>16</v>
      </c>
      <c r="BD13" s="10"/>
      <c r="BE13" s="10" t="s">
        <v>91</v>
      </c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1"/>
    </row>
    <row r="14" spans="1:79">
      <c r="A14" s="14"/>
      <c r="B14" s="79">
        <v>9</v>
      </c>
      <c r="C14" s="108">
        <f t="shared" si="0"/>
        <v>103.51300000000001</v>
      </c>
      <c r="D14" s="81">
        <v>103.51300000000001</v>
      </c>
      <c r="E14" s="81">
        <v>1035.1300000000001</v>
      </c>
      <c r="F14" s="81">
        <v>0.9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5" t="b">
        <f>IF($P$23=10,IF(AND($AY$24&gt;=0.3,$AY$24&lt;=1),$BE$14,$BE$15))</f>
        <v>0</v>
      </c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>
        <v>17</v>
      </c>
      <c r="BD14" s="10"/>
      <c r="BE14" s="10" t="s">
        <v>89</v>
      </c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1"/>
    </row>
    <row r="15" spans="1:79">
      <c r="A15" s="14"/>
      <c r="B15" s="79">
        <v>10</v>
      </c>
      <c r="C15" s="108">
        <f t="shared" si="0"/>
        <v>103.90300000000001</v>
      </c>
      <c r="D15" s="81">
        <v>103.90300000000001</v>
      </c>
      <c r="E15" s="81">
        <v>1039.03</v>
      </c>
      <c r="F15" s="81">
        <v>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>
        <v>18</v>
      </c>
      <c r="BD15" s="10"/>
      <c r="BE15" s="10" t="s">
        <v>92</v>
      </c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1"/>
    </row>
    <row r="16" spans="1:79">
      <c r="A16" s="14"/>
      <c r="B16" s="79">
        <v>11</v>
      </c>
      <c r="C16" s="108">
        <f t="shared" si="0"/>
        <v>104.292</v>
      </c>
      <c r="D16" s="81">
        <v>104.292</v>
      </c>
      <c r="E16" s="81">
        <v>1042.92</v>
      </c>
      <c r="F16" s="81">
        <v>1.1000000000000001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>
        <v>19</v>
      </c>
      <c r="BD16" s="10"/>
      <c r="BE16" s="10" t="s">
        <v>94</v>
      </c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1"/>
    </row>
    <row r="17" spans="1:79">
      <c r="A17" s="14"/>
      <c r="B17" s="79">
        <v>12</v>
      </c>
      <c r="C17" s="108">
        <f t="shared" si="0"/>
        <v>104.682</v>
      </c>
      <c r="D17" s="81">
        <v>104.682</v>
      </c>
      <c r="E17" s="81">
        <v>1046.82</v>
      </c>
      <c r="F17" s="81">
        <v>1.2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>
        <v>20</v>
      </c>
      <c r="BD17" s="10"/>
      <c r="BE17" s="10" t="s">
        <v>95</v>
      </c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1"/>
    </row>
    <row r="18" spans="1:79">
      <c r="A18" s="14"/>
      <c r="B18" s="79">
        <v>13</v>
      </c>
      <c r="C18" s="108">
        <f t="shared" si="0"/>
        <v>105.071</v>
      </c>
      <c r="D18" s="81">
        <v>105.071</v>
      </c>
      <c r="E18" s="81">
        <v>1050.71</v>
      </c>
      <c r="F18" s="81">
        <v>1.3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1"/>
    </row>
    <row r="19" spans="1:79">
      <c r="A19" s="14"/>
      <c r="B19" s="79">
        <v>14</v>
      </c>
      <c r="C19" s="108">
        <f t="shared" si="0"/>
        <v>105.46</v>
      </c>
      <c r="D19" s="81">
        <v>105.46</v>
      </c>
      <c r="E19" s="81">
        <v>1054.5999999999999</v>
      </c>
      <c r="F19" s="81">
        <v>1.4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1"/>
    </row>
    <row r="20" spans="1:79">
      <c r="A20" s="14"/>
      <c r="B20" s="79">
        <v>15</v>
      </c>
      <c r="C20" s="108">
        <f t="shared" si="0"/>
        <v>105.85899999999999</v>
      </c>
      <c r="D20" s="81">
        <v>105.85899999999999</v>
      </c>
      <c r="E20" s="81">
        <v>1058.5899999999999</v>
      </c>
      <c r="F20" s="81">
        <v>1.5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1"/>
    </row>
    <row r="21" spans="1:79">
      <c r="A21" s="14"/>
      <c r="B21" s="79">
        <v>16</v>
      </c>
      <c r="C21" s="108">
        <f t="shared" si="0"/>
        <v>106.238</v>
      </c>
      <c r="D21" s="81">
        <v>106.238</v>
      </c>
      <c r="E21" s="81">
        <v>1062.3800000000001</v>
      </c>
      <c r="F21" s="81">
        <v>1.6</v>
      </c>
      <c r="G21" s="118"/>
      <c r="H21" s="204" t="s">
        <v>169</v>
      </c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116"/>
      <c r="U21" s="204" t="s">
        <v>168</v>
      </c>
      <c r="V21" s="204"/>
      <c r="W21" s="204"/>
      <c r="X21" s="204"/>
      <c r="Y21" s="204"/>
      <c r="Z21" s="204"/>
      <c r="AA21" s="204"/>
      <c r="AB21" s="204"/>
      <c r="AC21" s="204"/>
      <c r="AD21" s="204"/>
      <c r="AE21" s="116"/>
      <c r="AF21" s="226" t="str">
        <f>CONCATENATE("Characteristic of the sensing element ",C1)</f>
        <v>Characteristic of the sensing element Pt100</v>
      </c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18"/>
      <c r="BF21" s="175" t="str">
        <f>IF(P23=1,BE10,BE11)</f>
        <v>Anbefalet strøm i Pt100 er 1mA til 3mA</v>
      </c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8"/>
      <c r="BU21" s="18"/>
      <c r="BV21" s="18"/>
      <c r="BW21" s="18"/>
      <c r="BX21" s="18"/>
      <c r="BY21" s="18"/>
      <c r="BZ21" s="18"/>
      <c r="CA21" s="109"/>
    </row>
    <row r="22" spans="1:79">
      <c r="A22" s="14"/>
      <c r="B22" s="79">
        <v>17</v>
      </c>
      <c r="C22" s="108">
        <f t="shared" si="0"/>
        <v>106.627</v>
      </c>
      <c r="D22" s="81">
        <v>106.627</v>
      </c>
      <c r="E22" s="81">
        <v>1066.27</v>
      </c>
      <c r="F22" s="81">
        <v>1.7</v>
      </c>
      <c r="G22" s="119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117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117"/>
      <c r="AF22" s="135" t="s">
        <v>1</v>
      </c>
      <c r="AG22" s="135"/>
      <c r="AH22" s="135"/>
      <c r="AI22" s="135"/>
      <c r="AJ22" s="135"/>
      <c r="AK22" s="135"/>
      <c r="AL22" s="135"/>
      <c r="AM22" s="135"/>
      <c r="AN22" s="135"/>
      <c r="AO22" s="135" t="s">
        <v>0</v>
      </c>
      <c r="AP22" s="135"/>
      <c r="AQ22" s="135"/>
      <c r="AR22" s="134" t="s">
        <v>4</v>
      </c>
      <c r="AS22" s="134"/>
      <c r="AT22" s="134"/>
      <c r="AU22" s="135" t="s">
        <v>5</v>
      </c>
      <c r="AV22" s="135"/>
      <c r="AW22" s="135"/>
      <c r="AX22" s="135"/>
      <c r="AY22" s="208" t="str">
        <f>CONCATENATE("I Pt ved ",AR24,AR23)</f>
        <v xml:space="preserve">I Pt ved 100 °C </v>
      </c>
      <c r="AZ22" s="209"/>
      <c r="BA22" s="209"/>
      <c r="BB22" s="209"/>
      <c r="BC22" s="209"/>
      <c r="BD22" s="210"/>
      <c r="BE22" s="10"/>
      <c r="BF22" s="130" t="s">
        <v>12</v>
      </c>
      <c r="BG22" s="130"/>
      <c r="BH22" s="130"/>
      <c r="BI22" s="130"/>
      <c r="BJ22" s="130"/>
      <c r="BK22" s="130"/>
      <c r="BL22" s="130" t="s">
        <v>13</v>
      </c>
      <c r="BM22" s="130"/>
      <c r="BN22" s="130"/>
      <c r="BO22" s="130"/>
      <c r="BP22" s="130"/>
      <c r="BQ22" s="130"/>
      <c r="BR22" s="10"/>
      <c r="BS22" s="10"/>
      <c r="BT22" s="10"/>
      <c r="BU22" s="10"/>
      <c r="BV22" s="10"/>
      <c r="BW22" s="10"/>
      <c r="BX22" s="10"/>
      <c r="BY22" s="10"/>
      <c r="BZ22" s="10"/>
      <c r="CA22" s="11"/>
    </row>
    <row r="23" spans="1:79">
      <c r="A23" s="14"/>
      <c r="B23" s="79">
        <v>18</v>
      </c>
      <c r="C23" s="108">
        <f t="shared" si="0"/>
        <v>107.01600000000001</v>
      </c>
      <c r="D23" s="81">
        <v>107.01600000000001</v>
      </c>
      <c r="E23" s="81">
        <v>1070.1600000000001</v>
      </c>
      <c r="F23" s="81">
        <v>1.8</v>
      </c>
      <c r="G23" s="185" t="s">
        <v>69</v>
      </c>
      <c r="H23" s="130"/>
      <c r="I23" s="130"/>
      <c r="J23" s="130"/>
      <c r="K23" s="130"/>
      <c r="L23" s="130"/>
      <c r="M23" s="130"/>
      <c r="N23" s="130"/>
      <c r="O23" s="15"/>
      <c r="P23" s="220">
        <v>1</v>
      </c>
      <c r="Q23" s="221"/>
      <c r="R23" s="221"/>
      <c r="S23" s="222"/>
      <c r="T23" s="10"/>
      <c r="U23" s="220">
        <v>10</v>
      </c>
      <c r="V23" s="221"/>
      <c r="W23" s="221"/>
      <c r="X23" s="222"/>
      <c r="Y23" s="10"/>
      <c r="Z23" s="16">
        <v>1</v>
      </c>
      <c r="AA23" s="10"/>
      <c r="AB23" s="10"/>
      <c r="AC23" s="10"/>
      <c r="AD23" s="10"/>
      <c r="AE23" s="10"/>
      <c r="AF23" s="134" t="s">
        <v>47</v>
      </c>
      <c r="AG23" s="134"/>
      <c r="AH23" s="134"/>
      <c r="AI23" s="135" t="s">
        <v>39</v>
      </c>
      <c r="AJ23" s="135"/>
      <c r="AK23" s="135"/>
      <c r="AL23" s="134" t="s">
        <v>33</v>
      </c>
      <c r="AM23" s="134"/>
      <c r="AN23" s="134"/>
      <c r="AO23" s="134" t="s">
        <v>142</v>
      </c>
      <c r="AP23" s="134"/>
      <c r="AQ23" s="134"/>
      <c r="AR23" s="191" t="s">
        <v>15</v>
      </c>
      <c r="AS23" s="134"/>
      <c r="AT23" s="134"/>
      <c r="AU23" s="134" t="str">
        <f>+C1</f>
        <v>Pt100</v>
      </c>
      <c r="AV23" s="134"/>
      <c r="AW23" s="134"/>
      <c r="AX23" s="134"/>
      <c r="AY23" s="211" t="s">
        <v>35</v>
      </c>
      <c r="AZ23" s="212"/>
      <c r="BA23" s="212"/>
      <c r="BB23" s="212"/>
      <c r="BC23" s="212"/>
      <c r="BD23" s="213"/>
      <c r="BE23" s="10"/>
      <c r="BF23" s="152">
        <f>($AO$24/($AL$24+C5))*1000</f>
        <v>1.0869565217391304</v>
      </c>
      <c r="BG23" s="152"/>
      <c r="BH23" s="152"/>
      <c r="BI23" s="152"/>
      <c r="BJ23" s="152"/>
      <c r="BK23" s="152"/>
      <c r="BL23" s="152">
        <f>($AO$24/($AL$24+C105))*1000</f>
        <v>1.0824260978993789</v>
      </c>
      <c r="BM23" s="152"/>
      <c r="BN23" s="152"/>
      <c r="BO23" s="152"/>
      <c r="BP23" s="152"/>
      <c r="BQ23" s="152"/>
      <c r="BR23" s="10"/>
      <c r="BS23" s="10"/>
      <c r="BT23" s="10"/>
      <c r="BU23" s="10"/>
      <c r="BV23" s="10"/>
      <c r="BW23" s="10"/>
      <c r="BX23" s="10"/>
      <c r="BY23" s="10"/>
      <c r="BZ23" s="10"/>
      <c r="CA23" s="11"/>
    </row>
    <row r="24" spans="1:79">
      <c r="A24" s="14"/>
      <c r="B24" s="79">
        <v>19</v>
      </c>
      <c r="C24" s="108">
        <f t="shared" si="0"/>
        <v>107.405</v>
      </c>
      <c r="D24" s="81">
        <v>107.405</v>
      </c>
      <c r="E24" s="81">
        <v>1074.05</v>
      </c>
      <c r="F24" s="81">
        <v>1.9</v>
      </c>
      <c r="G24" s="185" t="s">
        <v>70</v>
      </c>
      <c r="H24" s="130"/>
      <c r="I24" s="130"/>
      <c r="J24" s="130"/>
      <c r="K24" s="130"/>
      <c r="L24" s="130"/>
      <c r="M24" s="130"/>
      <c r="N24" s="130"/>
      <c r="O24" s="10"/>
      <c r="P24" s="223"/>
      <c r="Q24" s="224"/>
      <c r="R24" s="224"/>
      <c r="S24" s="225"/>
      <c r="T24" s="10"/>
      <c r="U24" s="223"/>
      <c r="V24" s="224"/>
      <c r="W24" s="224"/>
      <c r="X24" s="225"/>
      <c r="Y24" s="10"/>
      <c r="Z24" s="16">
        <v>10</v>
      </c>
      <c r="AA24" s="10"/>
      <c r="AB24" s="10"/>
      <c r="AC24" s="10"/>
      <c r="AD24" s="10"/>
      <c r="AE24" s="10"/>
      <c r="AF24" s="190">
        <f>+AL24</f>
        <v>9100</v>
      </c>
      <c r="AG24" s="190"/>
      <c r="AH24" s="190"/>
      <c r="AI24" s="190">
        <f>+A7</f>
        <v>100</v>
      </c>
      <c r="AJ24" s="190"/>
      <c r="AK24" s="190"/>
      <c r="AL24" s="218">
        <v>9100</v>
      </c>
      <c r="AM24" s="218"/>
      <c r="AN24" s="218"/>
      <c r="AO24" s="202">
        <v>10</v>
      </c>
      <c r="AP24" s="202"/>
      <c r="AQ24" s="202"/>
      <c r="AR24" s="219">
        <v>100</v>
      </c>
      <c r="AS24" s="219"/>
      <c r="AT24" s="219"/>
      <c r="AU24" s="217">
        <f>+A5</f>
        <v>138.506</v>
      </c>
      <c r="AV24" s="217"/>
      <c r="AW24" s="217"/>
      <c r="AX24" s="217"/>
      <c r="AY24" s="214">
        <f>ROUND(AO24/($AL$24+AU24)*1000,3)</f>
        <v>1.0820000000000001</v>
      </c>
      <c r="AZ24" s="215"/>
      <c r="BA24" s="215"/>
      <c r="BB24" s="215"/>
      <c r="BC24" s="215"/>
      <c r="BD24" s="216"/>
      <c r="BE24" s="10"/>
      <c r="BF24" s="83" t="str">
        <f>IF($P$23=1,$AA$13,$AA$14)</f>
        <v>Pt100 arbejdspunkt er inden for grænse værdierne</v>
      </c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0"/>
      <c r="BU24" s="10"/>
      <c r="BV24" s="10"/>
      <c r="BW24" s="10"/>
      <c r="BX24" s="10"/>
      <c r="BY24" s="10"/>
      <c r="BZ24" s="10"/>
      <c r="CA24" s="11"/>
    </row>
    <row r="25" spans="1:79">
      <c r="A25" s="14"/>
      <c r="B25" s="79">
        <v>20</v>
      </c>
      <c r="C25" s="108">
        <f t="shared" si="0"/>
        <v>107.794</v>
      </c>
      <c r="D25" s="81">
        <v>107.794</v>
      </c>
      <c r="E25" s="81">
        <v>1077.94</v>
      </c>
      <c r="F25" s="81">
        <v>2</v>
      </c>
      <c r="G25" s="2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1"/>
    </row>
    <row r="26" spans="1:79">
      <c r="A26" s="14"/>
      <c r="B26" s="79">
        <v>21</v>
      </c>
      <c r="C26" s="108">
        <f t="shared" si="0"/>
        <v>108.182</v>
      </c>
      <c r="D26" s="81">
        <v>108.182</v>
      </c>
      <c r="E26" s="81">
        <v>1081.82</v>
      </c>
      <c r="F26" s="81">
        <v>2.1</v>
      </c>
      <c r="G26" s="20"/>
      <c r="H26" s="10"/>
      <c r="I26" s="17"/>
      <c r="J26" s="18"/>
      <c r="K26" s="18"/>
      <c r="L26" s="18"/>
      <c r="M26" s="18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9"/>
      <c r="Z26" s="20"/>
      <c r="AA26" s="10"/>
      <c r="AB26" s="10"/>
      <c r="AC26" s="10"/>
      <c r="AD26" s="10"/>
      <c r="AE26" s="10"/>
      <c r="AF26" s="15" t="s">
        <v>93</v>
      </c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30" t="str">
        <f>IF(P23=1,BE16,BE17)</f>
        <v>1mA til 3mA</v>
      </c>
      <c r="AZ26" s="130"/>
      <c r="BA26" s="130"/>
      <c r="BB26" s="130"/>
      <c r="BC26" s="130"/>
      <c r="BD26" s="130"/>
      <c r="BE26" s="15"/>
      <c r="BF26" s="21" t="s">
        <v>176</v>
      </c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0"/>
      <c r="BT26" s="10"/>
      <c r="BU26" s="10"/>
      <c r="BV26" s="10"/>
      <c r="BW26" s="10"/>
      <c r="BX26" s="10"/>
      <c r="BY26" s="10"/>
      <c r="BZ26" s="10"/>
      <c r="CA26" s="11"/>
    </row>
    <row r="27" spans="1:79" ht="15.75" thickBot="1">
      <c r="A27" s="14"/>
      <c r="B27" s="79">
        <v>22</v>
      </c>
      <c r="C27" s="108">
        <f t="shared" si="0"/>
        <v>108.57</v>
      </c>
      <c r="D27" s="81">
        <v>108.57</v>
      </c>
      <c r="E27" s="81">
        <v>1085.6999999999998</v>
      </c>
      <c r="F27" s="81">
        <v>2.2000000000000002</v>
      </c>
      <c r="G27" s="20"/>
      <c r="H27" s="10"/>
      <c r="I27" s="20"/>
      <c r="J27" s="10"/>
      <c r="K27" s="10"/>
      <c r="L27" s="10"/>
      <c r="M27" s="10"/>
      <c r="N27" s="2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22"/>
      <c r="Z27" s="23"/>
      <c r="AA27" s="10"/>
      <c r="AB27" s="10"/>
      <c r="AC27" s="10"/>
      <c r="AD27" s="10"/>
      <c r="AE27" s="10"/>
      <c r="AF27" s="15"/>
      <c r="AG27" s="15"/>
      <c r="AH27" s="15"/>
      <c r="AI27" s="15"/>
      <c r="AJ27" s="15"/>
      <c r="AK27" s="15"/>
      <c r="AL27" s="10"/>
      <c r="AM27" s="10"/>
      <c r="AN27" s="10"/>
      <c r="AO27" s="10"/>
      <c r="AP27" s="10"/>
      <c r="AQ27" s="10"/>
      <c r="AR27" s="10"/>
      <c r="AS27" s="10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0"/>
      <c r="BE27" s="24"/>
      <c r="BF27" s="21" t="s">
        <v>124</v>
      </c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1"/>
    </row>
    <row r="28" spans="1:79">
      <c r="A28" s="14"/>
      <c r="B28" s="79">
        <v>23</v>
      </c>
      <c r="C28" s="108">
        <f t="shared" si="0"/>
        <v>108.959</v>
      </c>
      <c r="D28" s="81">
        <v>108.959</v>
      </c>
      <c r="E28" s="81">
        <v>1089.5900000000001</v>
      </c>
      <c r="F28" s="81">
        <v>2.2999999999999998</v>
      </c>
      <c r="G28" s="20"/>
      <c r="H28" s="10"/>
      <c r="I28" s="20"/>
      <c r="J28" s="10"/>
      <c r="K28" s="10"/>
      <c r="L28" s="10"/>
      <c r="M28" s="140"/>
      <c r="N28" s="141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40"/>
      <c r="Z28" s="141"/>
      <c r="AA28" s="10"/>
      <c r="AB28" s="10"/>
      <c r="AC28" s="10"/>
      <c r="AD28" s="10"/>
      <c r="AE28" s="10"/>
      <c r="AF28" s="36" t="s">
        <v>96</v>
      </c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201">
        <v>9100</v>
      </c>
      <c r="AZ28" s="201"/>
      <c r="BA28" s="201"/>
      <c r="BB28" s="194" t="s">
        <v>5</v>
      </c>
      <c r="BC28" s="194"/>
      <c r="BD28" s="194"/>
      <c r="BE28" s="36" t="s">
        <v>88</v>
      </c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10"/>
      <c r="BS28" s="10"/>
      <c r="BT28" s="10"/>
      <c r="BU28" s="10"/>
      <c r="BV28" s="10"/>
      <c r="BW28" s="10"/>
      <c r="BX28" s="10"/>
      <c r="BY28" s="10"/>
      <c r="BZ28" s="10"/>
      <c r="CA28" s="11"/>
    </row>
    <row r="29" spans="1:79">
      <c r="A29" s="14"/>
      <c r="B29" s="79">
        <v>24</v>
      </c>
      <c r="C29" s="108">
        <f t="shared" si="0"/>
        <v>109.34699999999999</v>
      </c>
      <c r="D29" s="81">
        <v>109.34699999999999</v>
      </c>
      <c r="E29" s="81">
        <v>1093.47</v>
      </c>
      <c r="F29" s="81">
        <v>2.4</v>
      </c>
      <c r="G29" s="20"/>
      <c r="H29" s="10"/>
      <c r="I29" s="20"/>
      <c r="J29" s="130" t="str">
        <f>+AF23</f>
        <v>R3</v>
      </c>
      <c r="K29" s="130"/>
      <c r="L29" s="180"/>
      <c r="M29" s="142"/>
      <c r="N29" s="143"/>
      <c r="O29" s="187">
        <f>+AF24</f>
        <v>9100</v>
      </c>
      <c r="P29" s="188"/>
      <c r="Q29" s="188"/>
      <c r="R29" s="10"/>
      <c r="S29" s="10"/>
      <c r="T29" s="10"/>
      <c r="U29" s="10"/>
      <c r="V29" s="130" t="str">
        <f>+AL23</f>
        <v>R5</v>
      </c>
      <c r="W29" s="130"/>
      <c r="X29" s="180"/>
      <c r="Y29" s="142"/>
      <c r="Z29" s="143"/>
      <c r="AA29" s="187">
        <f>+AL24</f>
        <v>9100</v>
      </c>
      <c r="AB29" s="188"/>
      <c r="AC29" s="188"/>
      <c r="AD29" s="10"/>
      <c r="AE29" s="10"/>
      <c r="AF29" s="124" t="s">
        <v>177</v>
      </c>
      <c r="AG29" s="25"/>
      <c r="AH29" s="25"/>
      <c r="AI29" s="25"/>
      <c r="AJ29" s="25"/>
      <c r="AK29" s="25"/>
      <c r="AL29" s="25"/>
      <c r="AM29" s="25"/>
      <c r="AN29" s="25"/>
      <c r="AO29" s="26"/>
      <c r="AP29" s="26"/>
      <c r="AQ29" s="26"/>
      <c r="AR29" s="15"/>
      <c r="AS29" s="15"/>
      <c r="AT29" s="15"/>
      <c r="AU29" s="27"/>
      <c r="AV29" s="27"/>
      <c r="AW29" s="27"/>
      <c r="AX29" s="28"/>
      <c r="AY29" s="28"/>
      <c r="AZ29" s="28"/>
      <c r="BA29" s="28"/>
      <c r="BB29" s="28"/>
      <c r="BC29" s="28"/>
      <c r="BD29" s="10"/>
      <c r="BE29" s="10"/>
      <c r="BF29" s="155" t="s">
        <v>178</v>
      </c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6"/>
    </row>
    <row r="30" spans="1:79">
      <c r="A30" s="14"/>
      <c r="B30" s="79">
        <v>25</v>
      </c>
      <c r="C30" s="108">
        <f t="shared" si="0"/>
        <v>109.735</v>
      </c>
      <c r="D30" s="81">
        <v>109.735</v>
      </c>
      <c r="E30" s="81">
        <v>1097.3499999999999</v>
      </c>
      <c r="F30" s="81">
        <v>2.5</v>
      </c>
      <c r="G30" s="20"/>
      <c r="H30" s="10"/>
      <c r="I30" s="20"/>
      <c r="J30" s="10"/>
      <c r="K30" s="10"/>
      <c r="L30" s="10"/>
      <c r="M30" s="142"/>
      <c r="N30" s="143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42"/>
      <c r="Z30" s="143"/>
      <c r="AA30" s="10"/>
      <c r="AB30" s="10"/>
      <c r="AC30" s="10"/>
      <c r="AD30" s="10"/>
      <c r="AE30" s="10"/>
      <c r="AF30" s="102" t="s">
        <v>62</v>
      </c>
      <c r="AG30" s="102"/>
      <c r="AH30" s="102"/>
      <c r="AI30" s="102"/>
      <c r="AJ30" s="102"/>
      <c r="AK30" s="102"/>
      <c r="AL30" s="102"/>
      <c r="AM30" s="131">
        <f>AF24/AI24</f>
        <v>91</v>
      </c>
      <c r="AN30" s="131"/>
      <c r="AO30" s="131"/>
      <c r="AP30" s="103"/>
      <c r="AQ30" s="104" t="s">
        <v>3</v>
      </c>
      <c r="AR30" s="131">
        <f>AL24/A7</f>
        <v>91</v>
      </c>
      <c r="AS30" s="131"/>
      <c r="AT30" s="131"/>
      <c r="AU30" s="102"/>
      <c r="AV30" s="102"/>
      <c r="AW30" s="102"/>
      <c r="AX30" s="102"/>
      <c r="AY30" s="192">
        <f>AM30-AR30</f>
        <v>0</v>
      </c>
      <c r="AZ30" s="193"/>
      <c r="BA30" s="193"/>
      <c r="BB30" s="193" t="str">
        <f>+$S$31</f>
        <v xml:space="preserve"> mV</v>
      </c>
      <c r="BC30" s="193"/>
      <c r="BD30" s="193"/>
      <c r="BE30" s="29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6"/>
    </row>
    <row r="31" spans="1:79" ht="15.75" thickBot="1">
      <c r="A31" s="14"/>
      <c r="B31" s="79">
        <v>26</v>
      </c>
      <c r="C31" s="108">
        <f t="shared" si="0"/>
        <v>110.123</v>
      </c>
      <c r="D31" s="81">
        <v>110.123</v>
      </c>
      <c r="E31" s="81">
        <v>1101.23</v>
      </c>
      <c r="F31" s="81">
        <v>2.6</v>
      </c>
      <c r="G31" s="185" t="str">
        <f>+AO23</f>
        <v>Vcc</v>
      </c>
      <c r="H31" s="200"/>
      <c r="I31" s="20"/>
      <c r="J31" s="10"/>
      <c r="K31" s="10"/>
      <c r="L31" s="10"/>
      <c r="M31" s="144"/>
      <c r="N31" s="145"/>
      <c r="O31" s="203">
        <f>+AY32</f>
        <v>108.69565217391305</v>
      </c>
      <c r="P31" s="130"/>
      <c r="Q31" s="130"/>
      <c r="R31" s="130"/>
      <c r="S31" s="155" t="s">
        <v>28</v>
      </c>
      <c r="T31" s="155"/>
      <c r="U31" s="132">
        <f>+AY34</f>
        <v>149.92250911565139</v>
      </c>
      <c r="V31" s="130"/>
      <c r="W31" s="130"/>
      <c r="X31" s="180"/>
      <c r="Y31" s="144"/>
      <c r="Z31" s="145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 t="str">
        <f>+AO23</f>
        <v>Vcc</v>
      </c>
      <c r="BJ31" s="10"/>
      <c r="BK31" s="241">
        <f>+AO24</f>
        <v>10</v>
      </c>
      <c r="BL31" s="232"/>
      <c r="BM31" s="130" t="s">
        <v>144</v>
      </c>
      <c r="BN31" s="130"/>
      <c r="BO31" s="10"/>
      <c r="BP31" s="133" t="s">
        <v>155</v>
      </c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239"/>
    </row>
    <row r="32" spans="1:79" ht="15.75" thickBot="1">
      <c r="A32" s="14"/>
      <c r="B32" s="79">
        <v>27</v>
      </c>
      <c r="C32" s="108">
        <f t="shared" si="0"/>
        <v>110.51</v>
      </c>
      <c r="D32" s="81">
        <v>110.51</v>
      </c>
      <c r="E32" s="81">
        <v>1105.1000000000001</v>
      </c>
      <c r="F32" s="81">
        <v>2.7</v>
      </c>
      <c r="G32" s="185">
        <f>+AO24</f>
        <v>10</v>
      </c>
      <c r="H32" s="200"/>
      <c r="I32" s="20"/>
      <c r="J32" s="10"/>
      <c r="K32" s="181" t="s">
        <v>38</v>
      </c>
      <c r="L32" s="181"/>
      <c r="M32" s="182"/>
      <c r="N32" s="30"/>
      <c r="O32" s="130" t="s">
        <v>6</v>
      </c>
      <c r="P32" s="130"/>
      <c r="Q32" s="130"/>
      <c r="R32" s="15"/>
      <c r="S32" s="155"/>
      <c r="T32" s="155"/>
      <c r="U32" s="15"/>
      <c r="V32" s="130" t="s">
        <v>7</v>
      </c>
      <c r="W32" s="130"/>
      <c r="X32" s="130"/>
      <c r="Y32" s="10"/>
      <c r="Z32" s="183" t="s">
        <v>37</v>
      </c>
      <c r="AA32" s="184"/>
      <c r="AB32" s="184"/>
      <c r="AC32" s="31"/>
      <c r="AD32" s="10"/>
      <c r="AE32" s="10"/>
      <c r="AF32" s="130" t="s">
        <v>8</v>
      </c>
      <c r="AG32" s="130"/>
      <c r="AH32" s="10"/>
      <c r="AI32" s="130" t="s">
        <v>48</v>
      </c>
      <c r="AJ32" s="130"/>
      <c r="AK32" s="130"/>
      <c r="AL32" s="130"/>
      <c r="AM32" s="130"/>
      <c r="AN32" s="130"/>
      <c r="AO32" s="80" t="s">
        <v>3</v>
      </c>
      <c r="AP32" s="10"/>
      <c r="AQ32" s="130">
        <f>(AO24/(AF24+AI24))*AI24</f>
        <v>0.10869565217391304</v>
      </c>
      <c r="AR32" s="130"/>
      <c r="AS32" s="130"/>
      <c r="AT32" s="130"/>
      <c r="AU32" s="130" t="str">
        <f>+AO22</f>
        <v>Volt</v>
      </c>
      <c r="AV32" s="130"/>
      <c r="AW32" s="130"/>
      <c r="AX32" s="10"/>
      <c r="AY32" s="132">
        <f>AQ32*1000</f>
        <v>108.69565217391305</v>
      </c>
      <c r="AZ32" s="132"/>
      <c r="BA32" s="132"/>
      <c r="BB32" s="130" t="str">
        <f>+$S$31</f>
        <v xml:space="preserve"> mV</v>
      </c>
      <c r="BC32" s="130"/>
      <c r="BD32" s="130"/>
      <c r="BE32" s="10"/>
      <c r="BF32" s="10"/>
      <c r="BG32" s="10"/>
      <c r="BH32" s="10"/>
      <c r="BI32" s="23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1"/>
    </row>
    <row r="33" spans="1:79" ht="15.75" thickBot="1">
      <c r="A33" s="14"/>
      <c r="B33" s="79">
        <v>28</v>
      </c>
      <c r="C33" s="108">
        <f t="shared" si="0"/>
        <v>110.898</v>
      </c>
      <c r="D33" s="81">
        <v>110.898</v>
      </c>
      <c r="E33" s="81">
        <v>1108.98</v>
      </c>
      <c r="F33" s="81">
        <v>2.8</v>
      </c>
      <c r="G33" s="20"/>
      <c r="H33" s="10"/>
      <c r="I33" s="32"/>
      <c r="J33" s="82" t="s">
        <v>11</v>
      </c>
      <c r="K33" s="181"/>
      <c r="L33" s="181"/>
      <c r="M33" s="182"/>
      <c r="N33" s="20"/>
      <c r="O33" s="10"/>
      <c r="P33" s="10"/>
      <c r="Q33" s="132">
        <f>(AQ34-AQ32)*1000</f>
        <v>41.226856941738347</v>
      </c>
      <c r="R33" s="132"/>
      <c r="S33" s="132"/>
      <c r="T33" s="132"/>
      <c r="U33" s="132"/>
      <c r="V33" s="132"/>
      <c r="W33" s="10"/>
      <c r="X33" s="10"/>
      <c r="Y33" s="10"/>
      <c r="Z33" s="183"/>
      <c r="AA33" s="184"/>
      <c r="AB33" s="184"/>
      <c r="AC33" s="31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95" t="s">
        <v>145</v>
      </c>
      <c r="BI33" s="196"/>
      <c r="BJ33" s="10"/>
      <c r="BK33" s="155"/>
      <c r="BL33" s="155"/>
      <c r="BM33" s="155"/>
      <c r="BN33" s="10"/>
      <c r="BO33" s="10"/>
      <c r="BP33" s="130" t="s">
        <v>158</v>
      </c>
      <c r="BQ33" s="130"/>
      <c r="BR33" s="130"/>
      <c r="BS33" s="130" t="s">
        <v>146</v>
      </c>
      <c r="BT33" s="130"/>
      <c r="BU33" s="130"/>
      <c r="BV33" s="130"/>
      <c r="BW33" s="130"/>
      <c r="BX33" s="130"/>
      <c r="BY33" s="130"/>
      <c r="BZ33" s="130"/>
      <c r="CA33" s="180"/>
    </row>
    <row r="34" spans="1:79" ht="16.5" thickTop="1" thickBot="1">
      <c r="A34" s="14"/>
      <c r="B34" s="79">
        <v>29</v>
      </c>
      <c r="C34" s="108">
        <f t="shared" si="0"/>
        <v>111.286</v>
      </c>
      <c r="D34" s="81">
        <v>111.286</v>
      </c>
      <c r="E34" s="81">
        <v>1112.8600000000001</v>
      </c>
      <c r="F34" s="81">
        <v>2.9</v>
      </c>
      <c r="G34" s="20"/>
      <c r="H34" s="33"/>
      <c r="I34" s="33"/>
      <c r="J34" s="10"/>
      <c r="K34" s="10"/>
      <c r="L34" s="10"/>
      <c r="M34" s="10"/>
      <c r="N34" s="185" t="s">
        <v>36</v>
      </c>
      <c r="O34" s="130"/>
      <c r="P34" s="130"/>
      <c r="Q34" s="10"/>
      <c r="R34" s="10"/>
      <c r="S34" s="10"/>
      <c r="T34" s="10"/>
      <c r="U34" s="10"/>
      <c r="V34" s="10"/>
      <c r="W34" s="10"/>
      <c r="X34" s="10"/>
      <c r="Y34" s="10"/>
      <c r="Z34" s="185" t="str">
        <f>+AY22</f>
        <v xml:space="preserve">I Pt ved 100 °C </v>
      </c>
      <c r="AA34" s="130"/>
      <c r="AB34" s="130"/>
      <c r="AC34" s="130"/>
      <c r="AD34" s="130"/>
      <c r="AE34" s="130"/>
      <c r="AF34" s="130" t="s">
        <v>9</v>
      </c>
      <c r="AG34" s="130"/>
      <c r="AH34" s="10"/>
      <c r="AI34" s="130" t="s">
        <v>49</v>
      </c>
      <c r="AJ34" s="130"/>
      <c r="AK34" s="130"/>
      <c r="AL34" s="130"/>
      <c r="AM34" s="130"/>
      <c r="AN34" s="130"/>
      <c r="AO34" s="80" t="s">
        <v>3</v>
      </c>
      <c r="AP34" s="10"/>
      <c r="AQ34" s="130">
        <f>(AO24/(AL24+AU24))*AU24</f>
        <v>0.14992250911565139</v>
      </c>
      <c r="AR34" s="130"/>
      <c r="AS34" s="130"/>
      <c r="AT34" s="130"/>
      <c r="AU34" s="130" t="str">
        <f>+AO22</f>
        <v>Volt</v>
      </c>
      <c r="AV34" s="130"/>
      <c r="AW34" s="130"/>
      <c r="AX34" s="10"/>
      <c r="AY34" s="132">
        <f>AQ34*1000</f>
        <v>149.92250911565139</v>
      </c>
      <c r="AZ34" s="132"/>
      <c r="BA34" s="132"/>
      <c r="BB34" s="130" t="str">
        <f>+$S$31</f>
        <v xml:space="preserve"> mV</v>
      </c>
      <c r="BC34" s="130"/>
      <c r="BD34" s="130"/>
      <c r="BE34" s="10"/>
      <c r="BF34" s="10"/>
      <c r="BG34" s="10"/>
      <c r="BH34" s="197"/>
      <c r="BI34" s="198"/>
      <c r="BJ34" s="10"/>
      <c r="BK34" s="155"/>
      <c r="BL34" s="155"/>
      <c r="BM34" s="155"/>
      <c r="BN34" s="10"/>
      <c r="BO34" s="15"/>
      <c r="BP34" s="130" t="s">
        <v>147</v>
      </c>
      <c r="BQ34" s="130"/>
      <c r="BR34" s="130"/>
      <c r="BS34" s="130" t="s">
        <v>148</v>
      </c>
      <c r="BT34" s="130"/>
      <c r="BU34" s="130"/>
      <c r="BV34" s="10"/>
      <c r="BW34" s="10"/>
      <c r="BX34" s="10"/>
      <c r="BY34" s="10"/>
      <c r="BZ34" s="10"/>
      <c r="CA34" s="11"/>
    </row>
    <row r="35" spans="1:79" ht="15.75" thickBot="1">
      <c r="A35" s="14"/>
      <c r="B35" s="79">
        <v>30</v>
      </c>
      <c r="C35" s="108">
        <f t="shared" si="0"/>
        <v>111.673</v>
      </c>
      <c r="D35" s="81">
        <v>111.673</v>
      </c>
      <c r="E35" s="81">
        <v>1116.73</v>
      </c>
      <c r="F35" s="81">
        <v>3</v>
      </c>
      <c r="G35" s="20"/>
      <c r="H35" s="10"/>
      <c r="I35" s="17"/>
      <c r="J35" s="10"/>
      <c r="K35" s="10"/>
      <c r="L35" s="10"/>
      <c r="M35" s="10"/>
      <c r="N35" s="186">
        <f>ROUND(AO24/(AF24+AI24)*1000,3)</f>
        <v>1.087</v>
      </c>
      <c r="O35" s="152"/>
      <c r="P35" s="152"/>
      <c r="Q35" s="152"/>
      <c r="R35" s="152" t="str">
        <f>+AY23</f>
        <v xml:space="preserve"> mA</v>
      </c>
      <c r="S35" s="152"/>
      <c r="T35" s="10"/>
      <c r="U35" s="10"/>
      <c r="V35" s="10"/>
      <c r="W35" s="10"/>
      <c r="X35" s="10"/>
      <c r="Y35" s="10"/>
      <c r="Z35" s="185" t="str">
        <f>CONCATENATE(AY24,AY23)</f>
        <v>1,082 mA</v>
      </c>
      <c r="AA35" s="130"/>
      <c r="AB35" s="130"/>
      <c r="AC35" s="130"/>
      <c r="AD35" s="130"/>
      <c r="AE35" s="15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5"/>
      <c r="BG35" s="15"/>
      <c r="BH35" s="10"/>
      <c r="BI35" s="95"/>
      <c r="BJ35" s="36"/>
      <c r="BK35" s="194" t="s">
        <v>154</v>
      </c>
      <c r="BL35" s="194"/>
      <c r="BM35" s="194"/>
      <c r="BN35" s="10"/>
      <c r="BO35" s="10"/>
      <c r="BP35" s="130" t="s">
        <v>149</v>
      </c>
      <c r="BQ35" s="130"/>
      <c r="BR35" s="130"/>
      <c r="BS35" s="130" t="s">
        <v>150</v>
      </c>
      <c r="BT35" s="130"/>
      <c r="BU35" s="130"/>
      <c r="BV35" s="10"/>
      <c r="BW35" s="10"/>
      <c r="BX35" s="10"/>
      <c r="BY35" s="10"/>
      <c r="BZ35" s="10"/>
      <c r="CA35" s="11"/>
    </row>
    <row r="36" spans="1:79" ht="15.75" thickBot="1">
      <c r="A36" s="14"/>
      <c r="B36" s="79">
        <v>31</v>
      </c>
      <c r="C36" s="108">
        <f t="shared" si="0"/>
        <v>112.06</v>
      </c>
      <c r="D36" s="81">
        <v>112.06</v>
      </c>
      <c r="E36" s="81">
        <v>1120.5999999999999</v>
      </c>
      <c r="F36" s="81">
        <v>3.1</v>
      </c>
      <c r="G36" s="20"/>
      <c r="H36" s="10"/>
      <c r="I36" s="20"/>
      <c r="J36" s="10"/>
      <c r="K36" s="10"/>
      <c r="L36" s="10"/>
      <c r="M36" s="140"/>
      <c r="N36" s="141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40"/>
      <c r="Z36" s="141"/>
      <c r="AA36" s="10"/>
      <c r="AB36" s="10"/>
      <c r="AC36" s="10"/>
      <c r="AD36" s="10"/>
      <c r="AE36" s="10"/>
      <c r="AF36" s="130" t="s">
        <v>30</v>
      </c>
      <c r="AG36" s="130"/>
      <c r="AH36" s="15"/>
      <c r="AI36" s="130" t="s">
        <v>31</v>
      </c>
      <c r="AJ36" s="130"/>
      <c r="AK36" s="130"/>
      <c r="AL36" s="130"/>
      <c r="AM36" s="15"/>
      <c r="AN36" s="15"/>
      <c r="AO36" s="10"/>
      <c r="AP36" s="10"/>
      <c r="AQ36" s="130">
        <f>AQ34-AQ32</f>
        <v>4.1226856941738346E-2</v>
      </c>
      <c r="AR36" s="130"/>
      <c r="AS36" s="130"/>
      <c r="AT36" s="130"/>
      <c r="AU36" s="130" t="str">
        <f>+AO22</f>
        <v>Volt</v>
      </c>
      <c r="AV36" s="130"/>
      <c r="AW36" s="130"/>
      <c r="AX36" s="10"/>
      <c r="AY36" s="132">
        <f>ROUND(AY34-AY32,2)</f>
        <v>41.23</v>
      </c>
      <c r="AZ36" s="132"/>
      <c r="BA36" s="132"/>
      <c r="BB36" s="130" t="str">
        <f>+$S$31</f>
        <v xml:space="preserve"> mV</v>
      </c>
      <c r="BC36" s="130"/>
      <c r="BD36" s="130"/>
      <c r="BE36" s="10"/>
      <c r="BF36" s="15"/>
      <c r="BG36" s="150" t="s">
        <v>151</v>
      </c>
      <c r="BH36" s="151"/>
      <c r="BI36" s="23"/>
      <c r="BJ36" s="10"/>
      <c r="BK36" s="10"/>
      <c r="BL36" s="10"/>
      <c r="BM36" s="10"/>
      <c r="BN36" s="10"/>
      <c r="BO36" s="10"/>
      <c r="BP36" s="130" t="s">
        <v>159</v>
      </c>
      <c r="BQ36" s="130"/>
      <c r="BR36" s="130"/>
      <c r="BS36" s="229">
        <v>1</v>
      </c>
      <c r="BT36" s="229"/>
      <c r="BU36" s="229"/>
      <c r="BV36" s="130" t="s">
        <v>152</v>
      </c>
      <c r="BW36" s="130"/>
      <c r="BX36" s="130" t="s">
        <v>161</v>
      </c>
      <c r="BY36" s="130"/>
      <c r="BZ36" s="130"/>
      <c r="CA36" s="11"/>
    </row>
    <row r="37" spans="1:79">
      <c r="A37" s="14"/>
      <c r="B37" s="79">
        <v>32</v>
      </c>
      <c r="C37" s="108">
        <f t="shared" si="0"/>
        <v>112.447</v>
      </c>
      <c r="D37" s="81">
        <v>112.447</v>
      </c>
      <c r="E37" s="81">
        <v>1124.47</v>
      </c>
      <c r="F37" s="81">
        <v>3.2</v>
      </c>
      <c r="G37" s="20"/>
      <c r="H37" s="10"/>
      <c r="I37" s="20"/>
      <c r="J37" s="130" t="str">
        <f>+AI23</f>
        <v>R4</v>
      </c>
      <c r="K37" s="130"/>
      <c r="L37" s="180"/>
      <c r="M37" s="142"/>
      <c r="N37" s="143"/>
      <c r="O37" s="187">
        <f>+AI24</f>
        <v>100</v>
      </c>
      <c r="P37" s="188"/>
      <c r="Q37" s="188"/>
      <c r="R37" s="10"/>
      <c r="S37" s="10"/>
      <c r="T37" s="10"/>
      <c r="U37" s="10"/>
      <c r="V37" s="130" t="str">
        <f>+C1</f>
        <v>Pt100</v>
      </c>
      <c r="W37" s="130"/>
      <c r="X37" s="180"/>
      <c r="Y37" s="142"/>
      <c r="Z37" s="143"/>
      <c r="AA37" s="189">
        <f>+A5</f>
        <v>138.506</v>
      </c>
      <c r="AB37" s="152"/>
      <c r="AC37" s="152"/>
      <c r="AD37" s="152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96"/>
      <c r="BH37" s="100">
        <v>1</v>
      </c>
      <c r="BI37" s="6"/>
      <c r="BJ37" s="7"/>
      <c r="BK37" s="10"/>
      <c r="BL37" s="10"/>
      <c r="BM37" s="10"/>
      <c r="BN37" s="10"/>
      <c r="BO37" s="10"/>
      <c r="BP37" s="130" t="s">
        <v>160</v>
      </c>
      <c r="BQ37" s="130"/>
      <c r="BR37" s="130"/>
      <c r="BS37" s="231">
        <f>+AY24</f>
        <v>1.0820000000000001</v>
      </c>
      <c r="BT37" s="232"/>
      <c r="BU37" s="232"/>
      <c r="BV37" s="130" t="s">
        <v>152</v>
      </c>
      <c r="BW37" s="130"/>
      <c r="BX37" s="10"/>
      <c r="BY37" s="10"/>
      <c r="BZ37" s="10"/>
      <c r="CA37" s="11"/>
    </row>
    <row r="38" spans="1:79">
      <c r="A38" s="14"/>
      <c r="B38" s="79">
        <v>33</v>
      </c>
      <c r="C38" s="108">
        <f t="shared" si="0"/>
        <v>112.83499999999999</v>
      </c>
      <c r="D38" s="81">
        <v>112.83499999999999</v>
      </c>
      <c r="E38" s="81">
        <v>1128.3499999999999</v>
      </c>
      <c r="F38" s="81">
        <v>3.3</v>
      </c>
      <c r="G38" s="20"/>
      <c r="H38" s="10"/>
      <c r="I38" s="20"/>
      <c r="J38" s="10"/>
      <c r="K38" s="10"/>
      <c r="L38" s="10"/>
      <c r="M38" s="142"/>
      <c r="N38" s="143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42"/>
      <c r="Z38" s="143"/>
      <c r="AA38" s="10"/>
      <c r="AB38" s="10"/>
      <c r="AC38" s="10"/>
      <c r="AD38" s="10"/>
      <c r="AE38" s="10"/>
      <c r="AF38" s="10" t="s">
        <v>10</v>
      </c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 t="str">
        <f>CONCATENATE("Ved ",AR24,AR23,"er V2-V1 = ",AY36,BB36)</f>
        <v>Ved 100 °C er V2-V1 = 41,23 mV</v>
      </c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54" t="s">
        <v>143</v>
      </c>
      <c r="BH38" s="155"/>
      <c r="BI38" s="155"/>
      <c r="BJ38" s="156"/>
      <c r="BK38" s="82">
        <v>3</v>
      </c>
      <c r="BL38" s="10"/>
      <c r="BM38" s="10"/>
      <c r="BN38" s="130" t="s">
        <v>17</v>
      </c>
      <c r="BO38" s="130"/>
      <c r="BP38" s="130"/>
      <c r="BQ38" s="130"/>
      <c r="BR38" s="10"/>
      <c r="BS38" s="10"/>
      <c r="BT38" s="10"/>
      <c r="BU38" s="10"/>
      <c r="BV38" s="10"/>
      <c r="BW38" s="10"/>
      <c r="BX38" s="10"/>
      <c r="BY38" s="10"/>
      <c r="BZ38" s="10"/>
      <c r="CA38" s="11"/>
    </row>
    <row r="39" spans="1:79" ht="15.75" thickBot="1">
      <c r="A39" s="14"/>
      <c r="B39" s="79">
        <v>34</v>
      </c>
      <c r="C39" s="108">
        <f t="shared" si="0"/>
        <v>113.221</v>
      </c>
      <c r="D39" s="81">
        <v>113.221</v>
      </c>
      <c r="E39" s="81">
        <v>1132.21</v>
      </c>
      <c r="F39" s="81">
        <v>3.4</v>
      </c>
      <c r="G39" s="20"/>
      <c r="H39" s="10"/>
      <c r="I39" s="20"/>
      <c r="J39" s="10"/>
      <c r="K39" s="10"/>
      <c r="L39" s="10"/>
      <c r="M39" s="144"/>
      <c r="N39" s="145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44"/>
      <c r="Z39" s="145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54"/>
      <c r="BH39" s="155"/>
      <c r="BI39" s="155"/>
      <c r="BJ39" s="156"/>
      <c r="BK39" s="99"/>
      <c r="BL39" s="10"/>
      <c r="BM39" s="10"/>
      <c r="BN39" s="228">
        <v>1</v>
      </c>
      <c r="BO39" s="228"/>
      <c r="BP39" s="155" t="s">
        <v>144</v>
      </c>
      <c r="BQ39" s="155"/>
      <c r="BR39" s="10"/>
      <c r="BS39" s="10"/>
      <c r="BT39" s="10"/>
      <c r="BU39" s="10"/>
      <c r="BV39" s="10"/>
      <c r="BW39" s="10"/>
      <c r="BX39" s="10"/>
      <c r="BY39" s="10"/>
      <c r="BZ39" s="10"/>
      <c r="CA39" s="11"/>
    </row>
    <row r="40" spans="1:79" ht="15.75" thickBot="1">
      <c r="A40" s="14"/>
      <c r="B40" s="79">
        <v>35</v>
      </c>
      <c r="C40" s="108">
        <f t="shared" si="0"/>
        <v>113.608</v>
      </c>
      <c r="D40" s="81">
        <v>113.608</v>
      </c>
      <c r="E40" s="81">
        <v>1136.08</v>
      </c>
      <c r="F40" s="81">
        <v>3.5</v>
      </c>
      <c r="G40" s="20"/>
      <c r="H40" s="10"/>
      <c r="I40" s="20"/>
      <c r="J40" s="10"/>
      <c r="K40" s="10"/>
      <c r="L40" s="10"/>
      <c r="M40" s="10"/>
      <c r="N40" s="3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30"/>
      <c r="AA40" s="10"/>
      <c r="AB40" s="10"/>
      <c r="AC40" s="10"/>
      <c r="AD40" s="10"/>
      <c r="AE40" s="10"/>
      <c r="AF40" s="10" t="str">
        <f>CONCATENATE("Ved ",$AR$24,$AR$23,"ønskes ")</f>
        <v xml:space="preserve">Ved 100 °C ønskes </v>
      </c>
      <c r="AG40" s="10"/>
      <c r="AH40" s="10"/>
      <c r="AI40" s="10"/>
      <c r="AJ40" s="10"/>
      <c r="AK40" s="10"/>
      <c r="AL40" s="10" t="s">
        <v>16</v>
      </c>
      <c r="AM40" s="10"/>
      <c r="AN40" s="10"/>
      <c r="AO40" s="10"/>
      <c r="AP40" s="132">
        <f>A6*AW40</f>
        <v>10</v>
      </c>
      <c r="AQ40" s="132"/>
      <c r="AR40" s="132"/>
      <c r="AS40" s="27"/>
      <c r="AT40" s="130" t="str">
        <f>+AO23</f>
        <v>Vcc</v>
      </c>
      <c r="AU40" s="130"/>
      <c r="AV40" s="130"/>
      <c r="AW40" s="153">
        <f>IF(U23=1,0.1,IF(U23=10,1))</f>
        <v>1</v>
      </c>
      <c r="AX40" s="153"/>
      <c r="AY40" s="10"/>
      <c r="AZ40" s="10"/>
      <c r="BA40" s="10"/>
      <c r="BB40" s="10"/>
      <c r="BC40" s="10"/>
      <c r="BD40" s="10"/>
      <c r="BE40" s="10"/>
      <c r="BF40" s="10"/>
      <c r="BG40" s="97"/>
      <c r="BH40" s="50">
        <v>2</v>
      </c>
      <c r="BI40" s="49"/>
      <c r="BJ40" s="98"/>
      <c r="BK40" s="10"/>
      <c r="BL40" s="101"/>
      <c r="BM40" s="10"/>
      <c r="BN40" s="228"/>
      <c r="BO40" s="228"/>
      <c r="BP40" s="155"/>
      <c r="BQ40" s="155"/>
      <c r="BR40" s="10"/>
      <c r="BS40" s="10"/>
      <c r="BT40" s="10"/>
      <c r="BU40" s="10"/>
      <c r="BV40" s="10"/>
      <c r="BW40" s="10"/>
      <c r="BX40" s="10"/>
      <c r="BY40" s="10"/>
      <c r="BZ40" s="15"/>
      <c r="CA40" s="110"/>
    </row>
    <row r="41" spans="1:79">
      <c r="A41" s="14"/>
      <c r="B41" s="79">
        <v>36</v>
      </c>
      <c r="C41" s="108">
        <f t="shared" si="0"/>
        <v>113.995</v>
      </c>
      <c r="D41" s="81">
        <v>113.995</v>
      </c>
      <c r="E41" s="81">
        <v>1139.95</v>
      </c>
      <c r="F41" s="81">
        <v>3.6</v>
      </c>
      <c r="G41" s="20"/>
      <c r="H41" s="10"/>
      <c r="I41" s="35"/>
      <c r="J41" s="36"/>
      <c r="K41" s="36"/>
      <c r="L41" s="36"/>
      <c r="M41" s="36"/>
      <c r="N41" s="35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7"/>
      <c r="Z41" s="2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 t="s">
        <v>156</v>
      </c>
      <c r="BD41" s="10"/>
      <c r="BE41" s="10"/>
      <c r="BF41" s="10"/>
      <c r="BG41" s="10"/>
      <c r="BH41" s="10"/>
      <c r="BI41" s="30"/>
      <c r="BJ41" s="240" t="s">
        <v>157</v>
      </c>
      <c r="BK41" s="240"/>
      <c r="BL41" s="15"/>
      <c r="BM41" s="15"/>
      <c r="BN41" s="10"/>
      <c r="BO41" s="10"/>
      <c r="BP41" s="230" t="s">
        <v>158</v>
      </c>
      <c r="BQ41" s="230"/>
      <c r="BR41" s="230"/>
      <c r="BS41" s="122"/>
      <c r="BT41" s="15"/>
      <c r="BU41" s="15"/>
      <c r="BV41" s="229">
        <f>ROUND((BK31-BN39)/(AY24+BS36),2)</f>
        <v>4.32</v>
      </c>
      <c r="BW41" s="229"/>
      <c r="BX41" s="229"/>
      <c r="BY41" s="130" t="s">
        <v>153</v>
      </c>
      <c r="BZ41" s="130"/>
      <c r="CA41" s="11"/>
    </row>
    <row r="42" spans="1:79" ht="15.75" thickBot="1">
      <c r="A42" s="14"/>
      <c r="B42" s="79">
        <v>37</v>
      </c>
      <c r="C42" s="108">
        <f t="shared" si="0"/>
        <v>114.38200000000001</v>
      </c>
      <c r="D42" s="81">
        <v>114.38200000000001</v>
      </c>
      <c r="E42" s="81">
        <v>1143.8200000000002</v>
      </c>
      <c r="F42" s="81">
        <v>3.7</v>
      </c>
      <c r="G42" s="2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 t="s">
        <v>63</v>
      </c>
      <c r="AG42" s="10"/>
      <c r="AH42" s="10"/>
      <c r="AI42" s="10"/>
      <c r="AJ42" s="10"/>
      <c r="AK42" s="10"/>
      <c r="AL42" s="10"/>
      <c r="AM42" s="10"/>
      <c r="AN42" s="10"/>
      <c r="AO42" s="10"/>
      <c r="AP42" s="132">
        <f>+AP40</f>
        <v>10</v>
      </c>
      <c r="AQ42" s="132"/>
      <c r="AR42" s="132"/>
      <c r="AS42" s="10"/>
      <c r="AT42" s="130" t="str">
        <f>+AT40</f>
        <v>Vcc</v>
      </c>
      <c r="AU42" s="130"/>
      <c r="AV42" s="13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50" t="s">
        <v>162</v>
      </c>
      <c r="BH42" s="151"/>
      <c r="BI42" s="105"/>
      <c r="BJ42" s="106"/>
      <c r="BK42" s="106"/>
      <c r="BL42" s="106"/>
      <c r="BM42" s="106"/>
      <c r="BN42" s="106"/>
      <c r="BO42" s="15"/>
      <c r="BP42" s="10" t="s">
        <v>174</v>
      </c>
      <c r="BQ42" s="10"/>
      <c r="BR42" s="10"/>
      <c r="BS42" s="10"/>
      <c r="BT42" s="10"/>
      <c r="BU42" s="10"/>
      <c r="BV42" s="244">
        <v>4.7</v>
      </c>
      <c r="BW42" s="244"/>
      <c r="BX42" s="244"/>
      <c r="BY42" s="130" t="s">
        <v>153</v>
      </c>
      <c r="BZ42" s="130"/>
      <c r="CA42" s="11"/>
    </row>
    <row r="43" spans="1:79">
      <c r="A43" s="14"/>
      <c r="B43" s="79">
        <v>38</v>
      </c>
      <c r="C43" s="108">
        <f t="shared" si="0"/>
        <v>114.768</v>
      </c>
      <c r="D43" s="81">
        <v>114.768</v>
      </c>
      <c r="E43" s="81">
        <v>1147.68</v>
      </c>
      <c r="F43" s="81">
        <v>3.8</v>
      </c>
      <c r="G43" s="20"/>
      <c r="H43" s="10"/>
      <c r="I43" s="10"/>
      <c r="J43" s="28"/>
      <c r="K43" s="28"/>
      <c r="L43" s="28"/>
      <c r="M43" s="28"/>
      <c r="N43" s="28"/>
      <c r="O43" s="28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 t="s">
        <v>175</v>
      </c>
      <c r="BD43" s="10"/>
      <c r="BE43" s="10"/>
      <c r="BF43" s="10"/>
      <c r="BG43" s="10"/>
      <c r="BH43" s="10"/>
      <c r="BI43" s="15"/>
      <c r="BJ43" s="15"/>
      <c r="BK43" s="15"/>
      <c r="BL43" s="15"/>
      <c r="BM43" s="15"/>
      <c r="BN43" s="15"/>
      <c r="BO43" s="15"/>
      <c r="BP43" s="15"/>
      <c r="BQ43" s="15"/>
      <c r="BR43" s="34"/>
      <c r="BS43" s="34"/>
      <c r="BT43" s="34"/>
      <c r="BU43" s="34"/>
      <c r="BV43" s="38"/>
      <c r="BW43" s="38"/>
      <c r="BX43" s="38"/>
      <c r="BY43" s="10"/>
      <c r="BZ43" s="10"/>
      <c r="CA43" s="11"/>
    </row>
    <row r="44" spans="1:79" ht="15.75">
      <c r="A44" s="14"/>
      <c r="B44" s="79">
        <v>39</v>
      </c>
      <c r="C44" s="108">
        <f t="shared" si="0"/>
        <v>115.155</v>
      </c>
      <c r="D44" s="81">
        <v>115.155</v>
      </c>
      <c r="E44" s="81">
        <v>1151.55</v>
      </c>
      <c r="F44" s="81">
        <v>3.9</v>
      </c>
      <c r="G44" s="2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 t="s">
        <v>64</v>
      </c>
      <c r="AG44" s="10"/>
      <c r="AH44" s="10"/>
      <c r="AI44" s="10"/>
      <c r="AJ44" s="10"/>
      <c r="AK44" s="10"/>
      <c r="AL44" s="10"/>
      <c r="AM44" s="147">
        <f>ROUND(AP40*1000/AY36,4)</f>
        <v>242.54179999999999</v>
      </c>
      <c r="AN44" s="148"/>
      <c r="AO44" s="148"/>
      <c r="AP44" s="148"/>
      <c r="AQ44" s="148"/>
      <c r="AR44" s="148"/>
      <c r="AS44" s="149"/>
      <c r="AT44" s="130" t="s">
        <v>14</v>
      </c>
      <c r="AU44" s="130"/>
      <c r="AV44" s="13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1"/>
    </row>
    <row r="45" spans="1:79">
      <c r="A45" s="14"/>
      <c r="B45" s="79">
        <v>40</v>
      </c>
      <c r="C45" s="108">
        <f t="shared" si="0"/>
        <v>115.541</v>
      </c>
      <c r="D45" s="81">
        <v>115.541</v>
      </c>
      <c r="E45" s="81">
        <v>1155.4099999999999</v>
      </c>
      <c r="F45" s="81">
        <v>4</v>
      </c>
      <c r="G45" s="20"/>
      <c r="H45" s="10"/>
      <c r="I45" s="39" t="str">
        <f>CONCATENATE("Formel til beregning af ",C1," modstand ved en given temperatur:")</f>
        <v>Formel til beregning af Pt100 modstand ved en given temperatur: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 t="s">
        <v>74</v>
      </c>
      <c r="BF45" s="10"/>
      <c r="BG45" s="1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10"/>
      <c r="CA45" s="11"/>
    </row>
    <row r="46" spans="1:79">
      <c r="A46" s="14"/>
      <c r="B46" s="79">
        <v>41</v>
      </c>
      <c r="C46" s="108">
        <f t="shared" si="0"/>
        <v>115.92700000000001</v>
      </c>
      <c r="D46" s="81">
        <v>115.92700000000001</v>
      </c>
      <c r="E46" s="81">
        <v>1159.27</v>
      </c>
      <c r="F46" s="81">
        <v>4.0999999999999996</v>
      </c>
      <c r="G46" s="2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 t="s">
        <v>76</v>
      </c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1"/>
    </row>
    <row r="47" spans="1:79">
      <c r="A47" s="14"/>
      <c r="B47" s="79">
        <v>42</v>
      </c>
      <c r="C47" s="108">
        <f t="shared" si="0"/>
        <v>116.313</v>
      </c>
      <c r="D47" s="81">
        <v>116.313</v>
      </c>
      <c r="E47" s="81">
        <v>1163.1300000000001</v>
      </c>
      <c r="F47" s="81">
        <v>4.2</v>
      </c>
      <c r="G47" s="20"/>
      <c r="H47" s="10"/>
      <c r="I47" s="10" t="s">
        <v>20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30" t="s">
        <v>21</v>
      </c>
      <c r="W47" s="130"/>
      <c r="X47" s="130"/>
      <c r="Y47" s="130">
        <f>3.9083*10^-3</f>
        <v>3.9083E-3</v>
      </c>
      <c r="Z47" s="130"/>
      <c r="AA47" s="130"/>
      <c r="AB47" s="130"/>
      <c r="AC47" s="130"/>
      <c r="AD47" s="10"/>
      <c r="AE47" s="130" t="s">
        <v>22</v>
      </c>
      <c r="AF47" s="130"/>
      <c r="AG47" s="130"/>
      <c r="AH47" s="130">
        <f>-5.775*10^-7</f>
        <v>-5.7749999999999998E-7</v>
      </c>
      <c r="AI47" s="130"/>
      <c r="AJ47" s="130"/>
      <c r="AK47" s="130"/>
      <c r="AL47" s="130"/>
      <c r="AM47" s="130"/>
      <c r="AN47" s="130"/>
      <c r="AO47" s="10"/>
      <c r="AP47" s="130" t="s">
        <v>24</v>
      </c>
      <c r="AQ47" s="130"/>
      <c r="AR47" s="130"/>
      <c r="AS47" s="130"/>
      <c r="AT47" s="130"/>
      <c r="AU47" s="10"/>
      <c r="AV47" s="130">
        <f>-4.183*10^-12</f>
        <v>-4.1829999999999994E-12</v>
      </c>
      <c r="AW47" s="130"/>
      <c r="AX47" s="130"/>
      <c r="AY47" s="130"/>
      <c r="AZ47" s="130"/>
      <c r="BA47" s="130"/>
      <c r="BB47" s="15"/>
      <c r="BC47" s="10"/>
      <c r="BD47" s="10"/>
      <c r="BE47" s="10" t="s">
        <v>75</v>
      </c>
      <c r="BF47" s="10"/>
      <c r="BG47" s="10"/>
      <c r="BH47" s="10"/>
      <c r="BI47" s="10"/>
      <c r="BJ47" s="10"/>
      <c r="BK47" s="10"/>
      <c r="BL47" s="10"/>
      <c r="BM47" s="10"/>
      <c r="BN47" s="41"/>
      <c r="BO47" s="41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1"/>
    </row>
    <row r="48" spans="1:79">
      <c r="A48" s="14"/>
      <c r="B48" s="79">
        <v>43</v>
      </c>
      <c r="C48" s="108">
        <f t="shared" si="0"/>
        <v>116.699</v>
      </c>
      <c r="D48" s="81">
        <v>116.699</v>
      </c>
      <c r="E48" s="81">
        <v>1166.99</v>
      </c>
      <c r="F48" s="81">
        <v>4.3</v>
      </c>
      <c r="G48" s="2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30" t="str">
        <f>CONCATENATE("Ved ",$AR$24,$AR$23,"ønskes:")</f>
        <v>Ved 100 °C ønskes:</v>
      </c>
      <c r="BF48" s="130"/>
      <c r="BG48" s="130"/>
      <c r="BH48" s="130"/>
      <c r="BI48" s="130"/>
      <c r="BJ48" s="130"/>
      <c r="BK48" s="10"/>
      <c r="BL48" s="130" t="str">
        <f>+AL40</f>
        <v>Vout =</v>
      </c>
      <c r="BM48" s="130"/>
      <c r="BN48" s="130"/>
      <c r="BO48" s="130" t="str">
        <f>CONCATENATE(AP40,AT40)</f>
        <v>10Vcc</v>
      </c>
      <c r="BP48" s="130"/>
      <c r="BQ48" s="130"/>
      <c r="BR48" s="130"/>
      <c r="BS48" s="15"/>
      <c r="BT48" s="15"/>
      <c r="BU48" s="15"/>
      <c r="BV48" s="10"/>
      <c r="BW48" s="10"/>
      <c r="BX48" s="10"/>
      <c r="BY48" s="10"/>
      <c r="BZ48" s="10"/>
      <c r="CA48" s="11"/>
    </row>
    <row r="49" spans="1:79">
      <c r="A49" s="14"/>
      <c r="B49" s="79">
        <v>44</v>
      </c>
      <c r="C49" s="108">
        <f t="shared" si="0"/>
        <v>117.08499999999999</v>
      </c>
      <c r="D49" s="81">
        <v>117.08499999999999</v>
      </c>
      <c r="E49" s="81">
        <v>1170.8499999999999</v>
      </c>
      <c r="F49" s="81">
        <v>4.4000000000000004</v>
      </c>
      <c r="G49" s="20"/>
      <c r="H49" s="10"/>
      <c r="I49" s="10" t="s">
        <v>25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30" t="s">
        <v>23</v>
      </c>
      <c r="AQ49" s="130"/>
      <c r="AR49" s="130"/>
      <c r="AS49" s="130"/>
      <c r="AT49" s="130"/>
      <c r="AU49" s="10"/>
      <c r="AV49" s="165">
        <v>0</v>
      </c>
      <c r="AW49" s="165"/>
      <c r="AX49" s="165"/>
      <c r="AY49" s="165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38"/>
      <c r="BU49" s="38"/>
      <c r="BV49" s="38"/>
      <c r="BW49" s="10"/>
      <c r="BX49" s="10"/>
      <c r="BY49" s="10"/>
      <c r="BZ49" s="10"/>
      <c r="CA49" s="11"/>
    </row>
    <row r="50" spans="1:79">
      <c r="A50" s="14"/>
      <c r="B50" s="79">
        <v>45</v>
      </c>
      <c r="C50" s="108">
        <f t="shared" si="0"/>
        <v>117.47</v>
      </c>
      <c r="D50" s="81">
        <v>117.47</v>
      </c>
      <c r="E50" s="81">
        <v>1174.7</v>
      </c>
      <c r="F50" s="81">
        <v>4.5</v>
      </c>
      <c r="G50" s="2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5"/>
      <c r="AX50" s="15"/>
      <c r="AY50" s="15"/>
      <c r="AZ50" s="15"/>
      <c r="BA50" s="10"/>
      <c r="BB50" s="10"/>
      <c r="BC50" s="10"/>
      <c r="BD50" s="10"/>
      <c r="BE50" s="135" t="s">
        <v>40</v>
      </c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5"/>
      <c r="BU50" s="15"/>
      <c r="BV50" s="15"/>
      <c r="BW50" s="10"/>
      <c r="BX50" s="10"/>
      <c r="BY50" s="10"/>
      <c r="BZ50" s="10"/>
      <c r="CA50" s="11"/>
    </row>
    <row r="51" spans="1:79">
      <c r="A51" s="14"/>
      <c r="B51" s="79">
        <v>46</v>
      </c>
      <c r="C51" s="108">
        <f t="shared" si="0"/>
        <v>117.85599999999999</v>
      </c>
      <c r="D51" s="81">
        <v>117.85599999999999</v>
      </c>
      <c r="E51" s="81">
        <v>1178.56</v>
      </c>
      <c r="F51" s="81">
        <v>4.5999999999999996</v>
      </c>
      <c r="G51" s="20"/>
      <c r="H51" s="10"/>
      <c r="I51" s="10" t="s">
        <v>26</v>
      </c>
      <c r="J51" s="10"/>
      <c r="K51" s="10"/>
      <c r="L51" s="10"/>
      <c r="M51" s="10"/>
      <c r="N51" s="10"/>
      <c r="O51" s="10"/>
      <c r="P51" s="10"/>
      <c r="Q51" s="10"/>
      <c r="R51" s="10" t="s">
        <v>27</v>
      </c>
      <c r="S51" s="10"/>
      <c r="T51" s="10"/>
      <c r="U51" s="10"/>
      <c r="V51" s="10"/>
      <c r="W51" s="10"/>
      <c r="X51" s="10"/>
      <c r="Y51" s="130">
        <f>+AR24</f>
        <v>100</v>
      </c>
      <c r="Z51" s="130"/>
      <c r="AA51" s="130"/>
      <c r="AB51" s="130" t="str">
        <f>+AR23</f>
        <v xml:space="preserve"> °C </v>
      </c>
      <c r="AC51" s="130"/>
      <c r="AD51" s="10"/>
      <c r="AE51" s="152">
        <f>A7*(1+Y47*Y51+AH47*Y51^2)</f>
        <v>138.50549999999998</v>
      </c>
      <c r="AF51" s="152"/>
      <c r="AG51" s="152"/>
      <c r="AH51" s="152"/>
      <c r="AI51" s="130" t="str">
        <f>+AU22</f>
        <v>Ohm</v>
      </c>
      <c r="AJ51" s="130"/>
      <c r="AK51" s="130"/>
      <c r="AL51" s="13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5"/>
      <c r="AX51" s="15"/>
      <c r="AY51" s="15"/>
      <c r="AZ51" s="15"/>
      <c r="BA51" s="15"/>
      <c r="BB51" s="10"/>
      <c r="BC51" s="10"/>
      <c r="BD51" s="10"/>
      <c r="BE51" s="134" t="s">
        <v>57</v>
      </c>
      <c r="BF51" s="134"/>
      <c r="BG51" s="134"/>
      <c r="BH51" s="134" t="s">
        <v>42</v>
      </c>
      <c r="BI51" s="134"/>
      <c r="BJ51" s="134"/>
      <c r="BK51" s="134" t="s">
        <v>34</v>
      </c>
      <c r="BL51" s="134"/>
      <c r="BM51" s="134"/>
      <c r="BN51" s="134" t="s">
        <v>43</v>
      </c>
      <c r="BO51" s="134"/>
      <c r="BP51" s="134"/>
      <c r="BQ51" s="134" t="s">
        <v>50</v>
      </c>
      <c r="BR51" s="134"/>
      <c r="BS51" s="134"/>
      <c r="BT51" s="10"/>
      <c r="BU51" s="10"/>
      <c r="BV51" s="10"/>
      <c r="BW51" s="10"/>
      <c r="BX51" s="10"/>
      <c r="BY51" s="10"/>
      <c r="BZ51" s="10"/>
      <c r="CA51" s="11"/>
    </row>
    <row r="52" spans="1:79">
      <c r="A52" s="14"/>
      <c r="B52" s="79">
        <v>47</v>
      </c>
      <c r="C52" s="108">
        <f t="shared" si="0"/>
        <v>118.241</v>
      </c>
      <c r="D52" s="81">
        <v>118.241</v>
      </c>
      <c r="E52" s="81">
        <v>1182.4100000000001</v>
      </c>
      <c r="F52" s="81">
        <v>4.7</v>
      </c>
      <c r="G52" s="2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70">
        <v>0.82801668744780854</v>
      </c>
      <c r="BF52" s="170"/>
      <c r="BG52" s="170"/>
      <c r="BH52" s="172">
        <f>IF(AND(P23=1,U23=1),10,IF(AND(P23=1,U23=10),2,IF(AND(P23=10,U23=1),200,IF(AND(P23=10,U23=10),10))))</f>
        <v>2</v>
      </c>
      <c r="BI52" s="172"/>
      <c r="BJ52" s="172"/>
      <c r="BK52" s="171">
        <v>100</v>
      </c>
      <c r="BL52" s="171"/>
      <c r="BM52" s="171"/>
      <c r="BN52" s="171">
        <v>100</v>
      </c>
      <c r="BO52" s="171"/>
      <c r="BP52" s="171"/>
      <c r="BQ52" s="171">
        <v>100</v>
      </c>
      <c r="BR52" s="171"/>
      <c r="BS52" s="171"/>
      <c r="BT52" s="15"/>
      <c r="BU52" s="15"/>
      <c r="BV52" s="15"/>
      <c r="BW52" s="15"/>
      <c r="BX52" s="10"/>
      <c r="BY52" s="10"/>
      <c r="BZ52" s="10"/>
      <c r="CA52" s="11"/>
    </row>
    <row r="53" spans="1:79">
      <c r="A53" s="14"/>
      <c r="B53" s="79">
        <v>48</v>
      </c>
      <c r="C53" s="108">
        <f t="shared" si="0"/>
        <v>118.627</v>
      </c>
      <c r="D53" s="81">
        <v>118.627</v>
      </c>
      <c r="E53" s="81">
        <v>1186.27</v>
      </c>
      <c r="F53" s="81">
        <v>4.8</v>
      </c>
      <c r="G53" s="20"/>
      <c r="H53" s="10"/>
      <c r="I53" s="133" t="s">
        <v>87</v>
      </c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1"/>
    </row>
    <row r="54" spans="1:79">
      <c r="A54" s="14"/>
      <c r="B54" s="79">
        <v>49</v>
      </c>
      <c r="C54" s="108">
        <f t="shared" si="0"/>
        <v>119.012</v>
      </c>
      <c r="D54" s="81">
        <v>119.012</v>
      </c>
      <c r="E54" s="81">
        <v>1190.1199999999999</v>
      </c>
      <c r="F54" s="81">
        <v>4.9000000000000004</v>
      </c>
      <c r="G54" s="2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 t="s">
        <v>170</v>
      </c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1"/>
    </row>
    <row r="55" spans="1:79">
      <c r="A55" s="14"/>
      <c r="B55" s="79">
        <v>50</v>
      </c>
      <c r="C55" s="108">
        <f t="shared" si="0"/>
        <v>119.39700000000001</v>
      </c>
      <c r="D55" s="81">
        <v>119.39700000000001</v>
      </c>
      <c r="E55" s="81">
        <v>1193.97</v>
      </c>
      <c r="F55" s="81">
        <v>5</v>
      </c>
      <c r="G55" s="20"/>
      <c r="H55" s="10"/>
      <c r="I55" s="42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1"/>
    </row>
    <row r="56" spans="1:79">
      <c r="A56" s="14"/>
      <c r="B56" s="79">
        <v>51</v>
      </c>
      <c r="C56" s="108">
        <f t="shared" si="0"/>
        <v>119.782</v>
      </c>
      <c r="D56" s="81">
        <v>119.782</v>
      </c>
      <c r="E56" s="81">
        <v>1197.82</v>
      </c>
      <c r="F56" s="81">
        <v>5.0999999999999996</v>
      </c>
      <c r="G56" s="2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5" t="s">
        <v>173</v>
      </c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1"/>
    </row>
    <row r="57" spans="1:79">
      <c r="A57" s="14"/>
      <c r="B57" s="79">
        <v>52</v>
      </c>
      <c r="C57" s="108">
        <f t="shared" si="0"/>
        <v>120.167</v>
      </c>
      <c r="D57" s="81">
        <v>120.167</v>
      </c>
      <c r="E57" s="81">
        <v>1201.67</v>
      </c>
      <c r="F57" s="81">
        <v>5.2</v>
      </c>
      <c r="G57" s="2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10"/>
    </row>
    <row r="58" spans="1:79">
      <c r="A58" s="14"/>
      <c r="B58" s="79">
        <v>53</v>
      </c>
      <c r="C58" s="108">
        <f t="shared" si="0"/>
        <v>120.55200000000001</v>
      </c>
      <c r="D58" s="81">
        <v>120.55200000000001</v>
      </c>
      <c r="E58" s="81">
        <v>1205.52</v>
      </c>
      <c r="F58" s="81">
        <v>5.3</v>
      </c>
      <c r="G58" s="2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5" t="s">
        <v>51</v>
      </c>
      <c r="BF58" s="10"/>
      <c r="BG58" s="10"/>
      <c r="BH58" s="10"/>
      <c r="BI58" s="10"/>
      <c r="BJ58" s="10"/>
      <c r="BK58" s="10"/>
      <c r="BL58" s="15"/>
      <c r="BM58" s="15"/>
      <c r="BN58" s="15"/>
      <c r="BO58" s="146">
        <f>BE52/BH52</f>
        <v>0.41400834372390427</v>
      </c>
      <c r="BP58" s="146"/>
      <c r="BQ58" s="146"/>
      <c r="BR58" s="146"/>
      <c r="BS58" s="146"/>
      <c r="BT58" s="15" t="s">
        <v>52</v>
      </c>
      <c r="BU58" s="10"/>
      <c r="BV58" s="10"/>
      <c r="BW58" s="10"/>
      <c r="BX58" s="10"/>
      <c r="BY58" s="10"/>
      <c r="BZ58" s="10"/>
      <c r="CA58" s="110"/>
    </row>
    <row r="59" spans="1:79">
      <c r="A59" s="14"/>
      <c r="B59" s="79">
        <v>54</v>
      </c>
      <c r="C59" s="108">
        <f t="shared" si="0"/>
        <v>120.93600000000001</v>
      </c>
      <c r="D59" s="81">
        <v>120.93600000000001</v>
      </c>
      <c r="E59" s="81">
        <v>1209.3600000000001</v>
      </c>
      <c r="F59" s="81">
        <v>5.4</v>
      </c>
      <c r="G59" s="2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1"/>
    </row>
    <row r="60" spans="1:79">
      <c r="A60" s="14"/>
      <c r="B60" s="79">
        <v>55</v>
      </c>
      <c r="C60" s="108">
        <f t="shared" si="0"/>
        <v>121.321</v>
      </c>
      <c r="D60" s="81">
        <v>121.321</v>
      </c>
      <c r="E60" s="81">
        <v>1213.21</v>
      </c>
      <c r="F60" s="81">
        <v>5.5</v>
      </c>
      <c r="G60" s="2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30" t="s">
        <v>58</v>
      </c>
      <c r="BF60" s="130"/>
      <c r="BG60" s="130"/>
      <c r="BH60" s="130"/>
      <c r="BI60" s="130"/>
      <c r="BJ60" s="130"/>
      <c r="BK60" s="130"/>
      <c r="BL60" s="130"/>
      <c r="BM60" s="13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1"/>
    </row>
    <row r="61" spans="1:79">
      <c r="A61" s="14"/>
      <c r="B61" s="79">
        <v>56</v>
      </c>
      <c r="C61" s="108">
        <f t="shared" si="0"/>
        <v>121.705</v>
      </c>
      <c r="D61" s="81">
        <v>121.705</v>
      </c>
      <c r="E61" s="81">
        <v>1217.05</v>
      </c>
      <c r="F61" s="81">
        <v>5.6</v>
      </c>
      <c r="G61" s="2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5"/>
      <c r="BV61" s="15"/>
      <c r="BW61" s="15"/>
      <c r="BX61" s="15"/>
      <c r="BY61" s="15"/>
      <c r="BZ61" s="15"/>
      <c r="CA61" s="110"/>
    </row>
    <row r="62" spans="1:79" ht="15.75" thickBot="1">
      <c r="A62" s="14"/>
      <c r="B62" s="79">
        <v>57</v>
      </c>
      <c r="C62" s="108">
        <f t="shared" si="0"/>
        <v>122.09</v>
      </c>
      <c r="D62" s="81">
        <v>122.09</v>
      </c>
      <c r="E62" s="81">
        <v>1220.9000000000001</v>
      </c>
      <c r="F62" s="81">
        <v>5.7</v>
      </c>
      <c r="G62" s="2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30" t="s">
        <v>41</v>
      </c>
      <c r="BF62" s="130"/>
      <c r="BG62" s="166">
        <f>ROUND(((2*BK52/BE52+1))*(BQ52/BN52),4)</f>
        <v>242.541</v>
      </c>
      <c r="BH62" s="166"/>
      <c r="BI62" s="166"/>
      <c r="BJ62" s="166"/>
      <c r="BK62" s="166"/>
      <c r="BL62" s="43" t="s">
        <v>171</v>
      </c>
      <c r="BM62" s="44"/>
      <c r="BN62" s="43"/>
      <c r="BO62" s="43"/>
      <c r="BP62" s="43"/>
      <c r="BQ62" s="43"/>
      <c r="BR62" s="43"/>
      <c r="BS62" s="43"/>
      <c r="BT62" s="43"/>
      <c r="BU62" s="45"/>
      <c r="BV62" s="45"/>
      <c r="BW62" s="45"/>
      <c r="BX62" s="45"/>
      <c r="BY62" s="45"/>
      <c r="BZ62" s="15"/>
      <c r="CA62" s="110"/>
    </row>
    <row r="63" spans="1:79">
      <c r="A63" s="14"/>
      <c r="B63" s="79">
        <v>58</v>
      </c>
      <c r="C63" s="108">
        <f t="shared" si="0"/>
        <v>122.474</v>
      </c>
      <c r="D63" s="81">
        <v>122.474</v>
      </c>
      <c r="E63" s="81">
        <v>1224.74</v>
      </c>
      <c r="F63" s="81">
        <v>5.8</v>
      </c>
      <c r="G63" s="2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 t="s">
        <v>172</v>
      </c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1"/>
    </row>
    <row r="64" spans="1:79">
      <c r="A64" s="14"/>
      <c r="B64" s="79">
        <v>59</v>
      </c>
      <c r="C64" s="108">
        <f t="shared" si="0"/>
        <v>122.858</v>
      </c>
      <c r="D64" s="81">
        <v>122.858</v>
      </c>
      <c r="E64" s="81">
        <v>1228.58</v>
      </c>
      <c r="F64" s="81">
        <v>5.9</v>
      </c>
      <c r="G64" s="2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 t="s">
        <v>77</v>
      </c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1"/>
    </row>
    <row r="65" spans="1:81">
      <c r="A65" s="14"/>
      <c r="B65" s="79">
        <v>60</v>
      </c>
      <c r="C65" s="108">
        <f t="shared" si="0"/>
        <v>123.242</v>
      </c>
      <c r="D65" s="81">
        <v>123.242</v>
      </c>
      <c r="E65" s="81">
        <v>1232.42</v>
      </c>
      <c r="F65" s="81">
        <v>6</v>
      </c>
      <c r="G65" s="2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1"/>
    </row>
    <row r="66" spans="1:81" ht="15.75" thickBot="1">
      <c r="A66" s="14"/>
      <c r="B66" s="79">
        <v>61</v>
      </c>
      <c r="C66" s="108">
        <f t="shared" si="0"/>
        <v>123.626</v>
      </c>
      <c r="D66" s="81">
        <v>123.626</v>
      </c>
      <c r="E66" s="81">
        <v>1236.26</v>
      </c>
      <c r="F66" s="81">
        <v>6.1</v>
      </c>
      <c r="G66" s="2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82" t="s">
        <v>11</v>
      </c>
      <c r="BK66" s="10"/>
      <c r="BL66" s="46"/>
      <c r="BM66" s="10"/>
      <c r="BN66" s="10"/>
      <c r="BO66" s="10"/>
      <c r="BP66" s="10" t="s">
        <v>44</v>
      </c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1"/>
    </row>
    <row r="67" spans="1:81">
      <c r="A67" s="14"/>
      <c r="B67" s="79">
        <v>62</v>
      </c>
      <c r="C67" s="108">
        <f t="shared" si="0"/>
        <v>124.009</v>
      </c>
      <c r="D67" s="81">
        <v>124.009</v>
      </c>
      <c r="E67" s="81">
        <v>1240.0899999999999</v>
      </c>
      <c r="F67" s="81">
        <v>6.2</v>
      </c>
      <c r="G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6"/>
      <c r="BK67" s="47"/>
      <c r="BL67" s="46"/>
      <c r="BM67" s="10"/>
      <c r="BN67" s="10"/>
      <c r="BO67" s="10"/>
      <c r="BP67" s="10"/>
      <c r="BQ67" s="10"/>
      <c r="BR67" s="10"/>
      <c r="BS67" s="15" t="s">
        <v>16</v>
      </c>
      <c r="BT67" s="15"/>
      <c r="BU67" s="15"/>
      <c r="BV67" s="132">
        <f>ROUND(BV71/1000,2)</f>
        <v>10</v>
      </c>
      <c r="BW67" s="132"/>
      <c r="BX67" s="132"/>
      <c r="BY67" s="132" t="s">
        <v>2</v>
      </c>
      <c r="BZ67" s="132"/>
      <c r="CA67" s="11"/>
    </row>
    <row r="68" spans="1:81" ht="15.75" thickBot="1">
      <c r="A68" s="14"/>
      <c r="B68" s="79">
        <v>63</v>
      </c>
      <c r="C68" s="108">
        <f t="shared" si="0"/>
        <v>124.393</v>
      </c>
      <c r="D68" s="81">
        <v>124.393</v>
      </c>
      <c r="E68" s="81">
        <v>1243.93</v>
      </c>
      <c r="F68" s="81">
        <v>6.3</v>
      </c>
      <c r="G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31" t="str">
        <f>CONCATENATE(AF36,AY36,BB36)</f>
        <v>Vin =41,23 mV</v>
      </c>
      <c r="BF68" s="31"/>
      <c r="BG68" s="31"/>
      <c r="BH68" s="10"/>
      <c r="BI68" s="10"/>
      <c r="BJ68" s="31"/>
      <c r="BK68" s="48"/>
      <c r="BL68" s="242" t="str">
        <f>CONCATENATE("Av =",BG62)</f>
        <v>Av =242,541</v>
      </c>
      <c r="BM68" s="155"/>
      <c r="BN68" s="155"/>
      <c r="BO68" s="155"/>
      <c r="BP68" s="155"/>
      <c r="BQ68" s="31"/>
      <c r="BR68" s="31"/>
      <c r="BS68" s="49"/>
      <c r="BT68" s="49"/>
      <c r="BU68" s="49"/>
      <c r="BV68" s="49"/>
      <c r="BW68" s="10"/>
      <c r="BX68" s="10"/>
      <c r="BY68" s="10"/>
      <c r="BZ68" s="10"/>
      <c r="CA68" s="11"/>
    </row>
    <row r="69" spans="1:81">
      <c r="A69" s="14"/>
      <c r="B69" s="79">
        <v>64</v>
      </c>
      <c r="C69" s="108">
        <f t="shared" si="0"/>
        <v>124.777</v>
      </c>
      <c r="D69" s="81">
        <v>124.777</v>
      </c>
      <c r="E69" s="81">
        <v>1247.77</v>
      </c>
      <c r="F69" s="81">
        <v>6.4</v>
      </c>
      <c r="G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31"/>
      <c r="BF69" s="31"/>
      <c r="BG69" s="31"/>
      <c r="BH69" s="10"/>
      <c r="BI69" s="10"/>
      <c r="BJ69" s="31"/>
      <c r="BK69" s="48"/>
      <c r="BL69" s="242"/>
      <c r="BM69" s="155"/>
      <c r="BN69" s="155"/>
      <c r="BO69" s="155"/>
      <c r="BP69" s="155"/>
      <c r="BQ69" s="31"/>
      <c r="BR69" s="31"/>
      <c r="BS69" s="10"/>
      <c r="BT69" s="10"/>
      <c r="BU69" s="10"/>
      <c r="BV69" s="10"/>
      <c r="BW69" s="10"/>
      <c r="BX69" s="10"/>
      <c r="BY69" s="10"/>
      <c r="BZ69" s="10"/>
      <c r="CA69" s="11"/>
    </row>
    <row r="70" spans="1:81" ht="15.75" thickBot="1">
      <c r="A70" s="14"/>
      <c r="B70" s="79">
        <v>65</v>
      </c>
      <c r="C70" s="108">
        <f t="shared" ref="C70:C115" si="1">IF($P$23=1,D70,E70)</f>
        <v>125.16</v>
      </c>
      <c r="D70" s="81">
        <v>125.16</v>
      </c>
      <c r="E70" s="81">
        <v>1251.5999999999999</v>
      </c>
      <c r="F70" s="81">
        <v>6.5</v>
      </c>
      <c r="G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50" t="s">
        <v>29</v>
      </c>
      <c r="BK70" s="51"/>
      <c r="BL70" s="46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1"/>
    </row>
    <row r="71" spans="1:81">
      <c r="A71" s="14"/>
      <c r="B71" s="79">
        <v>66</v>
      </c>
      <c r="C71" s="108">
        <f t="shared" si="1"/>
        <v>125.54300000000001</v>
      </c>
      <c r="D71" s="81">
        <v>125.54300000000001</v>
      </c>
      <c r="E71" s="81">
        <v>1255.43</v>
      </c>
      <c r="F71" s="81">
        <v>6.6</v>
      </c>
      <c r="G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46"/>
      <c r="BM71" s="10"/>
      <c r="BN71" s="10"/>
      <c r="BO71" s="10"/>
      <c r="BP71" s="130" t="s">
        <v>32</v>
      </c>
      <c r="BQ71" s="130"/>
      <c r="BR71" s="130"/>
      <c r="BS71" s="130"/>
      <c r="BT71" s="130"/>
      <c r="BU71" s="130"/>
      <c r="BV71" s="243">
        <f>AY36*BG62</f>
        <v>9999.9654299999984</v>
      </c>
      <c r="BW71" s="243"/>
      <c r="BX71" s="243"/>
      <c r="BY71" s="130" t="str">
        <f>+BB36</f>
        <v xml:space="preserve"> mV</v>
      </c>
      <c r="BZ71" s="130"/>
      <c r="CA71" s="110"/>
    </row>
    <row r="72" spans="1:81">
      <c r="A72" s="14"/>
      <c r="B72" s="79">
        <v>67</v>
      </c>
      <c r="C72" s="108">
        <f t="shared" si="1"/>
        <v>125.926</v>
      </c>
      <c r="D72" s="81">
        <v>125.926</v>
      </c>
      <c r="E72" s="81">
        <v>1259.26</v>
      </c>
      <c r="F72" s="81">
        <v>6.7</v>
      </c>
      <c r="G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1"/>
    </row>
    <row r="73" spans="1:81">
      <c r="A73" s="14"/>
      <c r="B73" s="79">
        <v>68</v>
      </c>
      <c r="C73" s="108">
        <f t="shared" si="1"/>
        <v>126.309</v>
      </c>
      <c r="D73" s="81">
        <v>126.309</v>
      </c>
      <c r="E73" s="81">
        <v>1263.0899999999999</v>
      </c>
      <c r="F73" s="81">
        <v>6.8</v>
      </c>
      <c r="G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30"/>
      <c r="CA73" s="180"/>
    </row>
    <row r="74" spans="1:81">
      <c r="A74" s="14"/>
      <c r="B74" s="79">
        <v>69</v>
      </c>
      <c r="C74" s="108">
        <f t="shared" si="1"/>
        <v>126.69199999999999</v>
      </c>
      <c r="D74" s="81">
        <v>126.69199999999999</v>
      </c>
      <c r="E74" s="81">
        <v>1266.9199999999998</v>
      </c>
      <c r="F74" s="81">
        <v>6.9</v>
      </c>
      <c r="G74" s="2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 t="s">
        <v>71</v>
      </c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1"/>
    </row>
    <row r="75" spans="1:81">
      <c r="A75" s="14"/>
      <c r="B75" s="79">
        <v>70</v>
      </c>
      <c r="C75" s="108">
        <f t="shared" si="1"/>
        <v>127.075</v>
      </c>
      <c r="D75" s="81">
        <v>127.075</v>
      </c>
      <c r="E75" s="81">
        <v>1270.75</v>
      </c>
      <c r="F75" s="81">
        <v>7</v>
      </c>
      <c r="G75" s="2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 t="s">
        <v>72</v>
      </c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1"/>
    </row>
    <row r="76" spans="1:81">
      <c r="A76" s="14"/>
      <c r="B76" s="79">
        <v>71</v>
      </c>
      <c r="C76" s="108">
        <f t="shared" si="1"/>
        <v>127.458</v>
      </c>
      <c r="D76" s="81">
        <v>127.458</v>
      </c>
      <c r="E76" s="81">
        <v>1274.58</v>
      </c>
      <c r="F76" s="81">
        <v>7.1</v>
      </c>
      <c r="G76" s="2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 t="s">
        <v>111</v>
      </c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1"/>
    </row>
    <row r="77" spans="1:81">
      <c r="A77" s="14"/>
      <c r="B77" s="79">
        <v>72</v>
      </c>
      <c r="C77" s="108">
        <f t="shared" si="1"/>
        <v>127.84</v>
      </c>
      <c r="D77" s="81">
        <v>127.84</v>
      </c>
      <c r="E77" s="81">
        <v>1278.4000000000001</v>
      </c>
      <c r="F77" s="81">
        <v>7.2</v>
      </c>
      <c r="G77" s="2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 t="s">
        <v>73</v>
      </c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1"/>
    </row>
    <row r="78" spans="1:81">
      <c r="A78" s="14"/>
      <c r="B78" s="79">
        <v>73</v>
      </c>
      <c r="C78" s="108">
        <f t="shared" si="1"/>
        <v>128.22300000000001</v>
      </c>
      <c r="D78" s="81">
        <v>128.22300000000001</v>
      </c>
      <c r="E78" s="81">
        <v>1282.23</v>
      </c>
      <c r="F78" s="81">
        <v>7.3</v>
      </c>
      <c r="G78" s="2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 t="str">
        <f>CONCATENATE("Vout med en faktor ",BL80)</f>
        <v>Vout med en faktor 0,1</v>
      </c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52"/>
      <c r="BU78" s="10"/>
      <c r="BV78" s="10"/>
      <c r="BW78" s="10"/>
      <c r="BX78" s="10"/>
      <c r="BY78" s="10"/>
      <c r="BZ78" s="10"/>
      <c r="CA78" s="11"/>
    </row>
    <row r="79" spans="1:81">
      <c r="A79" s="14"/>
      <c r="B79" s="79">
        <v>74</v>
      </c>
      <c r="C79" s="108">
        <f t="shared" si="1"/>
        <v>128.60499999999999</v>
      </c>
      <c r="D79" s="81">
        <v>128.60499999999999</v>
      </c>
      <c r="E79" s="81">
        <v>1286.05</v>
      </c>
      <c r="F79" s="81">
        <v>7.4</v>
      </c>
      <c r="G79" s="2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31"/>
      <c r="BO79" s="31"/>
      <c r="BP79" s="31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1"/>
    </row>
    <row r="80" spans="1:81">
      <c r="A80" s="14"/>
      <c r="B80" s="79">
        <v>75</v>
      </c>
      <c r="C80" s="108">
        <f t="shared" si="1"/>
        <v>128.98699999999999</v>
      </c>
      <c r="D80" s="81">
        <v>128.98699999999999</v>
      </c>
      <c r="E80" s="81">
        <v>1289.8699999999999</v>
      </c>
      <c r="F80" s="81">
        <v>7.5</v>
      </c>
      <c r="G80" s="2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55" t="s">
        <v>78</v>
      </c>
      <c r="BF80" s="155"/>
      <c r="BG80" s="155"/>
      <c r="BH80" s="155"/>
      <c r="BI80" s="155"/>
      <c r="BJ80" s="155"/>
      <c r="BK80" s="10"/>
      <c r="BL80" s="233">
        <v>0.1</v>
      </c>
      <c r="BM80" s="234"/>
      <c r="BN80" s="234"/>
      <c r="BO80" s="234"/>
      <c r="BP80" s="235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1"/>
      <c r="CC80" s="53"/>
    </row>
    <row r="81" spans="1:84">
      <c r="A81" s="14"/>
      <c r="B81" s="79">
        <v>76</v>
      </c>
      <c r="C81" s="108">
        <f t="shared" si="1"/>
        <v>129.37</v>
      </c>
      <c r="D81" s="81">
        <v>129.37</v>
      </c>
      <c r="E81" s="81">
        <v>1293.7</v>
      </c>
      <c r="F81" s="81">
        <v>7.6</v>
      </c>
      <c r="G81" s="20"/>
      <c r="H81" s="10"/>
      <c r="I81" s="130" t="s">
        <v>46</v>
      </c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55"/>
      <c r="BF81" s="155"/>
      <c r="BG81" s="155"/>
      <c r="BH81" s="155"/>
      <c r="BI81" s="155"/>
      <c r="BJ81" s="155"/>
      <c r="BK81" s="10"/>
      <c r="BL81" s="236"/>
      <c r="BM81" s="237"/>
      <c r="BN81" s="237"/>
      <c r="BO81" s="237"/>
      <c r="BP81" s="238"/>
      <c r="BQ81" s="10"/>
      <c r="BR81" s="10"/>
      <c r="BS81" s="10"/>
      <c r="BT81" s="10"/>
      <c r="BU81" s="163"/>
      <c r="BV81" s="163"/>
      <c r="BW81" s="163"/>
      <c r="BX81" s="163"/>
      <c r="BY81" s="163"/>
      <c r="BZ81" s="163"/>
      <c r="CA81" s="11"/>
    </row>
    <row r="82" spans="1:84">
      <c r="A82" s="14"/>
      <c r="B82" s="79">
        <v>77</v>
      </c>
      <c r="C82" s="108">
        <f t="shared" si="1"/>
        <v>129.75200000000001</v>
      </c>
      <c r="D82" s="81">
        <v>129.75200000000001</v>
      </c>
      <c r="E82" s="81">
        <v>1297.52</v>
      </c>
      <c r="F82" s="81">
        <v>7.7</v>
      </c>
      <c r="G82" s="2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31"/>
      <c r="BF82" s="31"/>
      <c r="BG82" s="31"/>
      <c r="BH82" s="31"/>
      <c r="BI82" s="31"/>
      <c r="BJ82" s="31"/>
      <c r="BK82" s="10"/>
      <c r="BL82" s="31"/>
      <c r="BM82" s="31"/>
      <c r="BN82" s="31"/>
      <c r="BO82" s="31"/>
      <c r="BP82" s="31"/>
      <c r="BQ82" s="10"/>
      <c r="BR82" s="10"/>
      <c r="BS82" s="10"/>
      <c r="BT82" s="10"/>
      <c r="BU82" s="153" t="s">
        <v>83</v>
      </c>
      <c r="BV82" s="153"/>
      <c r="BW82" s="153"/>
      <c r="BX82" s="153"/>
      <c r="BY82" s="153"/>
      <c r="BZ82" s="153"/>
      <c r="CA82" s="11"/>
      <c r="CC82" s="54"/>
    </row>
    <row r="83" spans="1:84">
      <c r="A83" s="14"/>
      <c r="B83" s="79">
        <v>78</v>
      </c>
      <c r="C83" s="108">
        <f t="shared" si="1"/>
        <v>130.13300000000001</v>
      </c>
      <c r="D83" s="81">
        <v>130.13300000000001</v>
      </c>
      <c r="E83" s="81">
        <v>1301.3300000000002</v>
      </c>
      <c r="F83" s="81">
        <v>7.8</v>
      </c>
      <c r="G83" s="20"/>
      <c r="H83" s="10"/>
      <c r="I83" s="42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5"/>
      <c r="AR83" s="15"/>
      <c r="AS83" s="15"/>
      <c r="AT83" s="15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35" t="s">
        <v>1</v>
      </c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0"/>
      <c r="BU83" s="55" t="s">
        <v>80</v>
      </c>
      <c r="BV83" s="56"/>
      <c r="BW83" s="16"/>
      <c r="BX83" s="162">
        <f>1/10</f>
        <v>0.1</v>
      </c>
      <c r="BY83" s="162"/>
      <c r="BZ83" s="162"/>
      <c r="CA83" s="110"/>
    </row>
    <row r="84" spans="1:84">
      <c r="A84" s="14"/>
      <c r="B84" s="79">
        <v>79</v>
      </c>
      <c r="C84" s="108">
        <f t="shared" si="1"/>
        <v>130.51499999999999</v>
      </c>
      <c r="D84" s="81">
        <v>130.51499999999999</v>
      </c>
      <c r="E84" s="81">
        <v>1305.1499999999999</v>
      </c>
      <c r="F84" s="81">
        <v>7.9</v>
      </c>
      <c r="G84" s="2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34" t="s">
        <v>56</v>
      </c>
      <c r="BF84" s="134"/>
      <c r="BG84" s="134"/>
      <c r="BH84" s="134" t="s">
        <v>54</v>
      </c>
      <c r="BI84" s="134"/>
      <c r="BJ84" s="134"/>
      <c r="BK84" s="134" t="s">
        <v>53</v>
      </c>
      <c r="BL84" s="134"/>
      <c r="BM84" s="134"/>
      <c r="BN84" s="134" t="s">
        <v>17</v>
      </c>
      <c r="BO84" s="134"/>
      <c r="BP84" s="134"/>
      <c r="BQ84" s="134" t="s">
        <v>55</v>
      </c>
      <c r="BR84" s="134"/>
      <c r="BS84" s="134"/>
      <c r="BT84" s="10"/>
      <c r="BU84" s="57" t="s">
        <v>81</v>
      </c>
      <c r="BV84" s="16"/>
      <c r="BW84" s="16"/>
      <c r="BX84" s="153">
        <f>1/100</f>
        <v>0.01</v>
      </c>
      <c r="BY84" s="153"/>
      <c r="BZ84" s="153"/>
      <c r="CA84" s="11"/>
      <c r="CB84" s="58"/>
      <c r="CC84" s="59"/>
      <c r="CD84" s="59"/>
      <c r="CE84" s="53"/>
      <c r="CF84" s="53"/>
    </row>
    <row r="85" spans="1:84" ht="15.75" thickBot="1">
      <c r="A85" s="14"/>
      <c r="B85" s="79">
        <v>80</v>
      </c>
      <c r="C85" s="108">
        <f t="shared" si="1"/>
        <v>130.97</v>
      </c>
      <c r="D85" s="81">
        <v>130.97</v>
      </c>
      <c r="E85" s="81">
        <v>1309.7</v>
      </c>
      <c r="F85" s="81">
        <v>8</v>
      </c>
      <c r="G85" s="2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77">
        <v>1111.4632466895864</v>
      </c>
      <c r="BF85" s="177"/>
      <c r="BG85" s="177"/>
      <c r="BH85" s="137">
        <f>IF($BL$80=0.1,2000,IF($BL$80=0.01,500,IF($BL$80=0.001,100)))</f>
        <v>2000</v>
      </c>
      <c r="BI85" s="138"/>
      <c r="BJ85" s="139"/>
      <c r="BK85" s="137">
        <f>IF($BL$80=0.1,10000,IF($BL$80=0.01,20000,IF($BL$80=0.001,50000)))</f>
        <v>10000</v>
      </c>
      <c r="BL85" s="138"/>
      <c r="BM85" s="139"/>
      <c r="BN85" s="178">
        <f>+AP40</f>
        <v>10</v>
      </c>
      <c r="BO85" s="178"/>
      <c r="BP85" s="178"/>
      <c r="BQ85" s="179">
        <f>+AR24</f>
        <v>100</v>
      </c>
      <c r="BR85" s="179"/>
      <c r="BS85" s="179"/>
      <c r="BT85" s="10"/>
      <c r="BU85" s="57" t="s">
        <v>82</v>
      </c>
      <c r="BV85" s="16"/>
      <c r="BW85" s="16"/>
      <c r="BX85" s="153">
        <f>1/1000</f>
        <v>1E-3</v>
      </c>
      <c r="BY85" s="153"/>
      <c r="BZ85" s="153"/>
      <c r="CA85" s="11"/>
      <c r="CB85" s="60"/>
      <c r="CC85" s="59"/>
      <c r="CD85" s="59"/>
      <c r="CE85" s="53"/>
      <c r="CF85" s="53"/>
    </row>
    <row r="86" spans="1:84" ht="16.5" thickBot="1">
      <c r="A86" s="14"/>
      <c r="B86" s="79">
        <v>81</v>
      </c>
      <c r="C86" s="108">
        <f t="shared" si="1"/>
        <v>131.27799999999999</v>
      </c>
      <c r="D86" s="81">
        <v>131.27799999999999</v>
      </c>
      <c r="E86" s="81">
        <v>1312.78</v>
      </c>
      <c r="F86" s="81">
        <v>8.1</v>
      </c>
      <c r="G86" s="2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69" t="s">
        <v>79</v>
      </c>
      <c r="BF86" s="167"/>
      <c r="BG86" s="167"/>
      <c r="BH86" s="167"/>
      <c r="BI86" s="167"/>
      <c r="BJ86" s="167"/>
      <c r="BK86" s="167"/>
      <c r="BL86" s="167"/>
      <c r="BM86" s="167"/>
      <c r="BN86" s="136">
        <f>BN85*BL80</f>
        <v>1</v>
      </c>
      <c r="BO86" s="136"/>
      <c r="BP86" s="136"/>
      <c r="BQ86" s="167" t="s">
        <v>0</v>
      </c>
      <c r="BR86" s="167"/>
      <c r="BS86" s="168"/>
      <c r="BT86" s="10"/>
      <c r="BU86" s="112"/>
      <c r="BV86" s="112"/>
      <c r="BW86" s="112"/>
      <c r="BX86" s="21"/>
      <c r="BY86" s="21"/>
      <c r="BZ86" s="21"/>
      <c r="CA86" s="11"/>
      <c r="CB86" s="53"/>
      <c r="CC86" s="61"/>
      <c r="CD86" s="62"/>
      <c r="CE86" s="53"/>
      <c r="CF86" s="53"/>
    </row>
    <row r="87" spans="1:84">
      <c r="A87" s="14"/>
      <c r="B87" s="79">
        <v>82</v>
      </c>
      <c r="C87" s="108">
        <f t="shared" si="1"/>
        <v>131.66</v>
      </c>
      <c r="D87" s="81">
        <v>131.66</v>
      </c>
      <c r="E87" s="81">
        <v>1316.6</v>
      </c>
      <c r="F87" s="81">
        <v>8.1999999999999993</v>
      </c>
      <c r="G87" s="2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64" t="str">
        <f>IF(BN86=BR89,"","Målsøgning skal udføres")</f>
        <v/>
      </c>
      <c r="BF87" s="164"/>
      <c r="BG87" s="164"/>
      <c r="BH87" s="164"/>
      <c r="BI87" s="164"/>
      <c r="BJ87" s="164"/>
      <c r="BK87" s="164"/>
      <c r="BL87" s="164"/>
      <c r="BM87" s="164"/>
      <c r="BN87" s="164"/>
      <c r="BO87" s="164"/>
      <c r="BP87" s="164"/>
      <c r="BQ87" s="164"/>
      <c r="BR87" s="164"/>
      <c r="BS87" s="164"/>
      <c r="BT87" s="10"/>
      <c r="BU87" s="10"/>
      <c r="BV87" s="10"/>
      <c r="BW87" s="10"/>
      <c r="BX87" s="10"/>
      <c r="BY87" s="10"/>
      <c r="BZ87" s="10"/>
      <c r="CA87" s="11"/>
      <c r="CB87" s="53"/>
      <c r="CC87" s="53"/>
      <c r="CD87" s="53"/>
      <c r="CE87" s="53"/>
      <c r="CF87" s="53"/>
    </row>
    <row r="88" spans="1:84" ht="15.75" thickBot="1">
      <c r="A88" s="14"/>
      <c r="B88" s="79">
        <v>83</v>
      </c>
      <c r="C88" s="108">
        <f t="shared" si="1"/>
        <v>132.041</v>
      </c>
      <c r="D88" s="81">
        <v>132.041</v>
      </c>
      <c r="E88" s="81">
        <v>1320.4099999999999</v>
      </c>
      <c r="F88" s="81">
        <v>8.3000000000000007</v>
      </c>
      <c r="G88" s="2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64"/>
      <c r="BF88" s="164"/>
      <c r="BG88" s="164"/>
      <c r="BH88" s="164"/>
      <c r="BI88" s="164"/>
      <c r="BJ88" s="164"/>
      <c r="BK88" s="164"/>
      <c r="BL88" s="164"/>
      <c r="BM88" s="164"/>
      <c r="BN88" s="164"/>
      <c r="BO88" s="164"/>
      <c r="BP88" s="164"/>
      <c r="BQ88" s="164"/>
      <c r="BR88" s="164"/>
      <c r="BS88" s="164"/>
      <c r="BT88" s="10"/>
      <c r="BU88" s="10"/>
      <c r="BV88" s="10"/>
      <c r="BW88" s="10"/>
      <c r="BX88" s="10"/>
      <c r="BY88" s="10"/>
      <c r="BZ88" s="15"/>
      <c r="CA88" s="110"/>
      <c r="CB88" s="53"/>
      <c r="CC88" s="53"/>
      <c r="CD88" s="53"/>
      <c r="CE88" s="53"/>
      <c r="CF88" s="53"/>
    </row>
    <row r="89" spans="1:84" ht="15.75" thickBot="1">
      <c r="A89" s="14"/>
      <c r="B89" s="79">
        <v>84</v>
      </c>
      <c r="C89" s="108">
        <f t="shared" si="1"/>
        <v>132.422</v>
      </c>
      <c r="D89" s="81">
        <v>132.422</v>
      </c>
      <c r="E89" s="81">
        <v>1324.22</v>
      </c>
      <c r="F89" s="81">
        <v>8.4</v>
      </c>
      <c r="G89" s="2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63" t="s">
        <v>86</v>
      </c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157">
        <f>ROUND((BN85/(BK85+BE85))*BE85,3)</f>
        <v>1</v>
      </c>
      <c r="BS89" s="158"/>
      <c r="BT89" s="158"/>
      <c r="BU89" s="158"/>
      <c r="BV89" s="159"/>
      <c r="BW89" s="160" t="str">
        <f>+BQ86</f>
        <v>Volt</v>
      </c>
      <c r="BX89" s="161"/>
      <c r="BY89" s="161"/>
      <c r="BZ89" s="43"/>
      <c r="CA89" s="11"/>
      <c r="CB89" s="53"/>
      <c r="CC89" s="64"/>
      <c r="CD89" s="64"/>
      <c r="CE89" s="53"/>
      <c r="CF89" s="53"/>
    </row>
    <row r="90" spans="1:84">
      <c r="A90" s="14"/>
      <c r="B90" s="79">
        <v>85</v>
      </c>
      <c r="C90" s="108">
        <f t="shared" si="1"/>
        <v>132.803</v>
      </c>
      <c r="D90" s="81">
        <v>132.803</v>
      </c>
      <c r="E90" s="81">
        <v>1328.03</v>
      </c>
      <c r="F90" s="81">
        <v>8.5</v>
      </c>
      <c r="G90" s="2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84"/>
      <c r="BS90" s="84"/>
      <c r="BT90" s="84"/>
      <c r="BU90" s="84"/>
      <c r="BV90" s="84"/>
      <c r="BW90" s="65"/>
      <c r="BX90" s="15"/>
      <c r="BY90" s="15"/>
      <c r="BZ90" s="10"/>
      <c r="CA90" s="11"/>
      <c r="CB90" s="53"/>
      <c r="CC90" s="53"/>
      <c r="CD90" s="53"/>
      <c r="CE90" s="53"/>
      <c r="CF90" s="53"/>
    </row>
    <row r="91" spans="1:84">
      <c r="A91" s="14"/>
      <c r="B91" s="79">
        <v>86</v>
      </c>
      <c r="C91" s="108">
        <f t="shared" si="1"/>
        <v>133.184</v>
      </c>
      <c r="D91" s="81">
        <v>133.184</v>
      </c>
      <c r="E91" s="81">
        <v>1331.84</v>
      </c>
      <c r="F91" s="81">
        <v>8.6</v>
      </c>
      <c r="G91" s="2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1"/>
      <c r="CB91" s="53"/>
      <c r="CC91" s="66"/>
      <c r="CD91" s="66"/>
      <c r="CE91" s="66"/>
      <c r="CF91" s="53"/>
    </row>
    <row r="92" spans="1:84">
      <c r="A92" s="14"/>
      <c r="B92" s="79">
        <v>87</v>
      </c>
      <c r="C92" s="108">
        <f t="shared" si="1"/>
        <v>133.565</v>
      </c>
      <c r="D92" s="81">
        <v>133.565</v>
      </c>
      <c r="E92" s="81">
        <v>1335.65</v>
      </c>
      <c r="F92" s="81">
        <v>8.6999999999999993</v>
      </c>
      <c r="G92" s="2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5" t="s">
        <v>84</v>
      </c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1"/>
      <c r="CB92" s="53"/>
      <c r="CC92" s="53"/>
      <c r="CD92" s="53"/>
      <c r="CE92" s="53"/>
      <c r="CF92" s="53"/>
    </row>
    <row r="93" spans="1:84">
      <c r="A93" s="14"/>
      <c r="B93" s="79">
        <v>88</v>
      </c>
      <c r="C93" s="108">
        <f t="shared" si="1"/>
        <v>133.946</v>
      </c>
      <c r="D93" s="81">
        <v>133.946</v>
      </c>
      <c r="E93" s="81">
        <v>1339.46</v>
      </c>
      <c r="F93" s="81">
        <v>8.8000000000000007</v>
      </c>
      <c r="G93" s="2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5" t="s">
        <v>85</v>
      </c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1"/>
      <c r="CB93" s="53"/>
      <c r="CC93" s="53"/>
      <c r="CD93" s="53"/>
      <c r="CE93" s="53"/>
      <c r="CF93" s="53"/>
    </row>
    <row r="94" spans="1:84">
      <c r="A94" s="14"/>
      <c r="B94" s="79">
        <v>89</v>
      </c>
      <c r="C94" s="108">
        <f t="shared" si="1"/>
        <v>134.32599999999999</v>
      </c>
      <c r="D94" s="81">
        <v>134.32599999999999</v>
      </c>
      <c r="E94" s="81">
        <v>1343.26</v>
      </c>
      <c r="F94" s="81">
        <v>8.9</v>
      </c>
      <c r="G94" s="2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1"/>
      <c r="CB94" s="53"/>
      <c r="CC94" s="53"/>
      <c r="CD94" s="53"/>
      <c r="CE94" s="53"/>
      <c r="CF94" s="53"/>
    </row>
    <row r="95" spans="1:84">
      <c r="A95" s="14"/>
      <c r="B95" s="79">
        <v>90</v>
      </c>
      <c r="C95" s="108">
        <f t="shared" si="1"/>
        <v>134.70699999999999</v>
      </c>
      <c r="D95" s="81">
        <v>134.70699999999999</v>
      </c>
      <c r="E95" s="81">
        <v>1347.07</v>
      </c>
      <c r="F95" s="81">
        <v>9</v>
      </c>
      <c r="G95" s="2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5" t="s">
        <v>51</v>
      </c>
      <c r="BF95" s="10"/>
      <c r="BG95" s="10"/>
      <c r="BH95" s="10"/>
      <c r="BI95" s="10"/>
      <c r="BJ95" s="10"/>
      <c r="BK95" s="10"/>
      <c r="BL95" s="15"/>
      <c r="BM95" s="15"/>
      <c r="BN95" s="15"/>
      <c r="BO95" s="176">
        <f>BE85/BH85</f>
        <v>0.5557316233447932</v>
      </c>
      <c r="BP95" s="176"/>
      <c r="BQ95" s="176"/>
      <c r="BR95" s="130" t="s">
        <v>52</v>
      </c>
      <c r="BS95" s="130"/>
      <c r="BT95" s="130"/>
      <c r="BU95" s="10"/>
      <c r="BV95" s="10"/>
      <c r="BW95" s="10"/>
      <c r="BX95" s="10"/>
      <c r="BY95" s="10"/>
      <c r="BZ95" s="10"/>
      <c r="CA95" s="11"/>
    </row>
    <row r="96" spans="1:84">
      <c r="A96" s="14"/>
      <c r="B96" s="79">
        <v>91</v>
      </c>
      <c r="C96" s="108">
        <f t="shared" si="1"/>
        <v>135.08699999999999</v>
      </c>
      <c r="D96" s="81">
        <v>135.08699999999999</v>
      </c>
      <c r="E96" s="81">
        <v>1350.87</v>
      </c>
      <c r="F96" s="81">
        <v>9.1</v>
      </c>
      <c r="G96" s="2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1"/>
    </row>
    <row r="97" spans="1:79">
      <c r="A97" s="14"/>
      <c r="B97" s="79">
        <v>92</v>
      </c>
      <c r="C97" s="108">
        <f t="shared" si="1"/>
        <v>135.46799999999999</v>
      </c>
      <c r="D97" s="81">
        <v>135.46799999999999</v>
      </c>
      <c r="E97" s="81">
        <v>1354.6799999999998</v>
      </c>
      <c r="F97" s="81">
        <v>9.1999999999999993</v>
      </c>
      <c r="G97" s="2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 t="s">
        <v>102</v>
      </c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1"/>
    </row>
    <row r="98" spans="1:79">
      <c r="A98" s="14"/>
      <c r="B98" s="79">
        <v>93</v>
      </c>
      <c r="C98" s="108">
        <f t="shared" si="1"/>
        <v>135.84800000000001</v>
      </c>
      <c r="D98" s="81">
        <v>135.84800000000001</v>
      </c>
      <c r="E98" s="81">
        <v>1358.48</v>
      </c>
      <c r="F98" s="81">
        <v>9.3000000000000007</v>
      </c>
      <c r="G98" s="2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 t="s">
        <v>103</v>
      </c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1"/>
    </row>
    <row r="99" spans="1:79">
      <c r="A99" s="14"/>
      <c r="B99" s="79">
        <v>94</v>
      </c>
      <c r="C99" s="108">
        <f t="shared" si="1"/>
        <v>136.22800000000001</v>
      </c>
      <c r="D99" s="81">
        <v>136.22800000000001</v>
      </c>
      <c r="E99" s="81">
        <v>1362.2800000000002</v>
      </c>
      <c r="F99" s="81">
        <v>9.4</v>
      </c>
      <c r="G99" s="2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 t="s">
        <v>104</v>
      </c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1"/>
    </row>
    <row r="100" spans="1:79">
      <c r="A100" s="14"/>
      <c r="B100" s="79">
        <v>95</v>
      </c>
      <c r="C100" s="108">
        <f t="shared" si="1"/>
        <v>136.608</v>
      </c>
      <c r="D100" s="81">
        <v>136.608</v>
      </c>
      <c r="E100" s="81">
        <v>1366.08</v>
      </c>
      <c r="F100" s="81">
        <v>9.5</v>
      </c>
      <c r="G100" s="2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 t="s">
        <v>105</v>
      </c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1"/>
    </row>
    <row r="101" spans="1:79">
      <c r="A101" s="14"/>
      <c r="B101" s="79">
        <v>96</v>
      </c>
      <c r="C101" s="108">
        <f t="shared" si="1"/>
        <v>136.98699999999999</v>
      </c>
      <c r="D101" s="81">
        <v>136.98699999999999</v>
      </c>
      <c r="E101" s="81">
        <v>1369.87</v>
      </c>
      <c r="F101" s="81">
        <v>9.6</v>
      </c>
      <c r="G101" s="2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 t="s">
        <v>106</v>
      </c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1"/>
    </row>
    <row r="102" spans="1:79">
      <c r="A102" s="14"/>
      <c r="B102" s="79">
        <v>97</v>
      </c>
      <c r="C102" s="108">
        <f t="shared" si="1"/>
        <v>137.36699999999999</v>
      </c>
      <c r="D102" s="81">
        <v>137.36699999999999</v>
      </c>
      <c r="E102" s="81">
        <v>1373.6699999999998</v>
      </c>
      <c r="F102" s="81">
        <v>9.6999999999999993</v>
      </c>
      <c r="G102" s="2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 t="s">
        <v>45</v>
      </c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1"/>
    </row>
    <row r="103" spans="1:79">
      <c r="A103" s="14"/>
      <c r="B103" s="79">
        <v>98</v>
      </c>
      <c r="C103" s="108">
        <f t="shared" si="1"/>
        <v>137.74700000000001</v>
      </c>
      <c r="D103" s="81">
        <v>137.74700000000001</v>
      </c>
      <c r="E103" s="81">
        <v>1377.4700000000003</v>
      </c>
      <c r="F103" s="81">
        <v>9.8000000000000007</v>
      </c>
      <c r="G103" s="2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1"/>
    </row>
    <row r="104" spans="1:79">
      <c r="A104" s="14"/>
      <c r="B104" s="79">
        <v>99</v>
      </c>
      <c r="C104" s="108">
        <f t="shared" si="1"/>
        <v>138.126</v>
      </c>
      <c r="D104" s="81">
        <v>138.126</v>
      </c>
      <c r="E104" s="81">
        <v>1381.26</v>
      </c>
      <c r="F104" s="81">
        <v>9.9</v>
      </c>
      <c r="G104" s="2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 t="s">
        <v>107</v>
      </c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1"/>
    </row>
    <row r="105" spans="1:79">
      <c r="A105" s="14"/>
      <c r="B105" s="79">
        <v>100</v>
      </c>
      <c r="C105" s="108">
        <f t="shared" si="1"/>
        <v>138.506</v>
      </c>
      <c r="D105" s="81">
        <v>138.506</v>
      </c>
      <c r="E105" s="81">
        <v>1385.06</v>
      </c>
      <c r="F105" s="81">
        <v>10</v>
      </c>
      <c r="G105" s="2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 t="s">
        <v>108</v>
      </c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1"/>
    </row>
    <row r="106" spans="1:79">
      <c r="A106" s="9"/>
      <c r="B106" s="79">
        <v>110</v>
      </c>
      <c r="C106" s="108">
        <f t="shared" si="1"/>
        <v>142.29</v>
      </c>
      <c r="D106" s="81">
        <v>142.29</v>
      </c>
      <c r="E106" s="81">
        <v>1422.93</v>
      </c>
      <c r="F106" s="81">
        <v>11</v>
      </c>
      <c r="G106" s="2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 t="s">
        <v>109</v>
      </c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1"/>
    </row>
    <row r="107" spans="1:79">
      <c r="A107" s="9"/>
      <c r="B107" s="79">
        <v>120</v>
      </c>
      <c r="C107" s="108">
        <f t="shared" si="1"/>
        <v>146.07</v>
      </c>
      <c r="D107" s="81">
        <v>146.07</v>
      </c>
      <c r="E107" s="81">
        <v>1460.68</v>
      </c>
      <c r="F107" s="81">
        <v>12</v>
      </c>
      <c r="G107" s="2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67"/>
      <c r="V107" s="67"/>
      <c r="W107" s="67"/>
      <c r="X107" s="67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1"/>
    </row>
    <row r="108" spans="1:79">
      <c r="A108" s="9"/>
      <c r="B108" s="79">
        <v>130</v>
      </c>
      <c r="C108" s="108">
        <f t="shared" si="1"/>
        <v>149.83199999999999</v>
      </c>
      <c r="D108" s="114">
        <v>149.83199999999999</v>
      </c>
      <c r="E108" s="114">
        <v>1498.32</v>
      </c>
      <c r="F108" s="114">
        <v>13</v>
      </c>
      <c r="G108" s="2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68"/>
      <c r="W108" s="68"/>
      <c r="X108" s="68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 t="s">
        <v>112</v>
      </c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1"/>
    </row>
    <row r="109" spans="1:79">
      <c r="A109" s="9"/>
      <c r="B109" s="79">
        <v>140</v>
      </c>
      <c r="C109" s="108">
        <f t="shared" si="1"/>
        <v>153.58000000000001</v>
      </c>
      <c r="D109" s="81">
        <v>153.58000000000001</v>
      </c>
      <c r="E109" s="81">
        <v>1535.84</v>
      </c>
      <c r="F109" s="114">
        <v>14</v>
      </c>
      <c r="G109" s="2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67" t="s">
        <v>97</v>
      </c>
      <c r="V109" s="69"/>
      <c r="W109" s="69"/>
      <c r="X109" s="69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 t="s">
        <v>110</v>
      </c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1"/>
    </row>
    <row r="110" spans="1:79">
      <c r="A110" s="9"/>
      <c r="B110" s="113">
        <v>150</v>
      </c>
      <c r="C110" s="108">
        <f t="shared" si="1"/>
        <v>157.33000000000001</v>
      </c>
      <c r="D110" s="81">
        <v>157.33000000000001</v>
      </c>
      <c r="E110" s="81">
        <v>1573.25</v>
      </c>
      <c r="F110" s="114">
        <v>15</v>
      </c>
      <c r="G110" s="2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68"/>
      <c r="W110" s="68"/>
      <c r="X110" s="7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1"/>
    </row>
    <row r="111" spans="1:79">
      <c r="A111" s="9"/>
      <c r="B111" s="113">
        <v>160</v>
      </c>
      <c r="C111" s="108">
        <f t="shared" si="1"/>
        <v>161.05000000000001</v>
      </c>
      <c r="D111" s="81">
        <v>161.05000000000001</v>
      </c>
      <c r="E111" s="81">
        <v>1610.54</v>
      </c>
      <c r="F111" s="114">
        <v>16</v>
      </c>
      <c r="G111" s="2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85" t="s">
        <v>98</v>
      </c>
      <c r="V111" s="85"/>
      <c r="W111" s="85"/>
      <c r="X111" s="85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1"/>
    </row>
    <row r="112" spans="1:79">
      <c r="A112" s="9"/>
      <c r="B112" s="113">
        <v>170</v>
      </c>
      <c r="C112" s="108">
        <f t="shared" si="1"/>
        <v>164.77</v>
      </c>
      <c r="D112" s="81">
        <v>164.77</v>
      </c>
      <c r="E112" s="114">
        <v>1647.72</v>
      </c>
      <c r="F112" s="114">
        <v>17</v>
      </c>
      <c r="G112" s="2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68"/>
      <c r="W112" s="68"/>
      <c r="X112" s="68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1"/>
    </row>
    <row r="113" spans="1:79" ht="18.75">
      <c r="A113" s="9"/>
      <c r="B113" s="113">
        <v>180</v>
      </c>
      <c r="C113" s="108">
        <f t="shared" si="1"/>
        <v>168.48</v>
      </c>
      <c r="D113" s="114">
        <v>168.48</v>
      </c>
      <c r="E113" s="114">
        <v>1684.78</v>
      </c>
      <c r="F113" s="114">
        <v>18</v>
      </c>
      <c r="G113" s="2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86" t="s">
        <v>99</v>
      </c>
      <c r="V113" s="86"/>
      <c r="W113" s="86"/>
      <c r="X113" s="8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11" t="s">
        <v>165</v>
      </c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1"/>
    </row>
    <row r="114" spans="1:79">
      <c r="A114" s="9"/>
      <c r="B114" s="113">
        <v>190</v>
      </c>
      <c r="C114" s="108">
        <f t="shared" si="1"/>
        <v>172.17</v>
      </c>
      <c r="D114" s="114">
        <v>172.17</v>
      </c>
      <c r="E114" s="114">
        <v>1721.73</v>
      </c>
      <c r="F114" s="114">
        <v>19</v>
      </c>
      <c r="G114" s="2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1"/>
    </row>
    <row r="115" spans="1:79" ht="15.75" thickBot="1">
      <c r="A115" s="71" t="s">
        <v>67</v>
      </c>
      <c r="B115" s="115">
        <v>200</v>
      </c>
      <c r="C115" s="120">
        <f t="shared" si="1"/>
        <v>175.86</v>
      </c>
      <c r="D115" s="121">
        <v>175.86</v>
      </c>
      <c r="E115" s="121">
        <v>1758.56</v>
      </c>
      <c r="F115" s="121">
        <v>20</v>
      </c>
      <c r="G115" s="23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173" t="s">
        <v>68</v>
      </c>
      <c r="BW115" s="173"/>
      <c r="BX115" s="173"/>
      <c r="BY115" s="173"/>
      <c r="BZ115" s="173"/>
      <c r="CA115" s="174"/>
    </row>
  </sheetData>
  <mergeCells count="193">
    <mergeCell ref="BP41:BR41"/>
    <mergeCell ref="BP37:BR37"/>
    <mergeCell ref="BS37:BU37"/>
    <mergeCell ref="BV37:BW37"/>
    <mergeCell ref="BL80:BP81"/>
    <mergeCell ref="BF29:CA30"/>
    <mergeCell ref="BP31:CA31"/>
    <mergeCell ref="BJ41:BK41"/>
    <mergeCell ref="BX36:BZ36"/>
    <mergeCell ref="BK31:BL31"/>
    <mergeCell ref="BM31:BN31"/>
    <mergeCell ref="BP71:BU71"/>
    <mergeCell ref="BE60:BM60"/>
    <mergeCell ref="BE62:BF62"/>
    <mergeCell ref="BO48:BR48"/>
    <mergeCell ref="BL68:BP69"/>
    <mergeCell ref="BV71:BX71"/>
    <mergeCell ref="BY71:BZ71"/>
    <mergeCell ref="BY67:BZ67"/>
    <mergeCell ref="BV42:BX42"/>
    <mergeCell ref="BV41:BX41"/>
    <mergeCell ref="BY41:BZ41"/>
    <mergeCell ref="BY42:BZ42"/>
    <mergeCell ref="BP33:BR33"/>
    <mergeCell ref="BS33:CA33"/>
    <mergeCell ref="BN39:BO40"/>
    <mergeCell ref="BP39:BQ40"/>
    <mergeCell ref="BP34:BR34"/>
    <mergeCell ref="BS34:BU34"/>
    <mergeCell ref="BP35:BR35"/>
    <mergeCell ref="BS35:BU35"/>
    <mergeCell ref="BN38:BQ38"/>
    <mergeCell ref="BP36:BR36"/>
    <mergeCell ref="BS36:BU36"/>
    <mergeCell ref="BV36:BW36"/>
    <mergeCell ref="H21:S22"/>
    <mergeCell ref="B1:B4"/>
    <mergeCell ref="AY22:BD22"/>
    <mergeCell ref="AY23:BD23"/>
    <mergeCell ref="AY24:BD24"/>
    <mergeCell ref="AU22:AX22"/>
    <mergeCell ref="AU23:AX23"/>
    <mergeCell ref="AU24:AX24"/>
    <mergeCell ref="BB30:BD30"/>
    <mergeCell ref="D2:D4"/>
    <mergeCell ref="J29:L29"/>
    <mergeCell ref="V29:X29"/>
    <mergeCell ref="AL24:AN24"/>
    <mergeCell ref="AR24:AT24"/>
    <mergeCell ref="AO23:AQ23"/>
    <mergeCell ref="AY26:BD26"/>
    <mergeCell ref="U23:X24"/>
    <mergeCell ref="U21:AD22"/>
    <mergeCell ref="AF21:BD21"/>
    <mergeCell ref="G23:N23"/>
    <mergeCell ref="G24:N24"/>
    <mergeCell ref="P23:S24"/>
    <mergeCell ref="C2:C4"/>
    <mergeCell ref="AR22:AT22"/>
    <mergeCell ref="E2:E4"/>
    <mergeCell ref="G32:H32"/>
    <mergeCell ref="G31:H31"/>
    <mergeCell ref="O29:Q29"/>
    <mergeCell ref="AA29:AC29"/>
    <mergeCell ref="N2:BN2"/>
    <mergeCell ref="BL22:BQ22"/>
    <mergeCell ref="BL23:BQ23"/>
    <mergeCell ref="AY28:BA28"/>
    <mergeCell ref="BB28:BD28"/>
    <mergeCell ref="AO24:AQ24"/>
    <mergeCell ref="AU32:AW32"/>
    <mergeCell ref="O31:R31"/>
    <mergeCell ref="U31:X31"/>
    <mergeCell ref="S31:T32"/>
    <mergeCell ref="O32:Q32"/>
    <mergeCell ref="V32:X32"/>
    <mergeCell ref="BF22:BK22"/>
    <mergeCell ref="AO22:AQ22"/>
    <mergeCell ref="AF23:AH23"/>
    <mergeCell ref="AF22:AN22"/>
    <mergeCell ref="AI23:AK23"/>
    <mergeCell ref="AL23:AN23"/>
    <mergeCell ref="AF24:AH24"/>
    <mergeCell ref="BF23:BK23"/>
    <mergeCell ref="K32:M33"/>
    <mergeCell ref="Z32:AB33"/>
    <mergeCell ref="N34:P34"/>
    <mergeCell ref="Z35:AD35"/>
    <mergeCell ref="N35:Q35"/>
    <mergeCell ref="O37:Q37"/>
    <mergeCell ref="Q33:V33"/>
    <mergeCell ref="J37:L37"/>
    <mergeCell ref="V37:X37"/>
    <mergeCell ref="Z34:AE34"/>
    <mergeCell ref="R35:S35"/>
    <mergeCell ref="AA37:AD37"/>
    <mergeCell ref="AI24:AK24"/>
    <mergeCell ref="AR23:AT23"/>
    <mergeCell ref="AI32:AN32"/>
    <mergeCell ref="AY30:BA30"/>
    <mergeCell ref="AQ32:AT32"/>
    <mergeCell ref="AF34:AG34"/>
    <mergeCell ref="BB32:BD32"/>
    <mergeCell ref="AI34:AN34"/>
    <mergeCell ref="BK33:BM34"/>
    <mergeCell ref="BK35:BM35"/>
    <mergeCell ref="BH33:BI34"/>
    <mergeCell ref="AQ34:AT34"/>
    <mergeCell ref="AU34:AW34"/>
    <mergeCell ref="AY34:BA34"/>
    <mergeCell ref="BB34:BD34"/>
    <mergeCell ref="BV115:CA115"/>
    <mergeCell ref="BF21:BS21"/>
    <mergeCell ref="BO95:BQ95"/>
    <mergeCell ref="BR95:BT95"/>
    <mergeCell ref="BH85:BJ85"/>
    <mergeCell ref="BE85:BG85"/>
    <mergeCell ref="BN85:BP85"/>
    <mergeCell ref="BQ85:BS85"/>
    <mergeCell ref="I81:AT81"/>
    <mergeCell ref="BE83:BS83"/>
    <mergeCell ref="BK84:BM84"/>
    <mergeCell ref="BH84:BJ84"/>
    <mergeCell ref="BE84:BG84"/>
    <mergeCell ref="BN84:BP84"/>
    <mergeCell ref="BQ84:BS84"/>
    <mergeCell ref="BZ73:CA73"/>
    <mergeCell ref="Y36:Z39"/>
    <mergeCell ref="AQ36:AT36"/>
    <mergeCell ref="AP40:AR40"/>
    <mergeCell ref="AT42:AV42"/>
    <mergeCell ref="BR89:BV89"/>
    <mergeCell ref="BW89:BY89"/>
    <mergeCell ref="Y51:AA51"/>
    <mergeCell ref="BX83:BZ83"/>
    <mergeCell ref="BX84:BZ84"/>
    <mergeCell ref="BX85:BZ85"/>
    <mergeCell ref="BU81:BZ81"/>
    <mergeCell ref="BE87:BS88"/>
    <mergeCell ref="AV49:AY49"/>
    <mergeCell ref="BV67:BX67"/>
    <mergeCell ref="BG62:BK62"/>
    <mergeCell ref="BQ86:BS86"/>
    <mergeCell ref="BE86:BM86"/>
    <mergeCell ref="BK51:BM51"/>
    <mergeCell ref="BN51:BP51"/>
    <mergeCell ref="BE52:BG52"/>
    <mergeCell ref="BK52:BM52"/>
    <mergeCell ref="BN52:BP52"/>
    <mergeCell ref="BE80:BJ81"/>
    <mergeCell ref="BH52:BJ52"/>
    <mergeCell ref="BQ51:BS51"/>
    <mergeCell ref="BQ52:BS52"/>
    <mergeCell ref="BU82:BZ82"/>
    <mergeCell ref="AT44:AV44"/>
    <mergeCell ref="AF36:AG36"/>
    <mergeCell ref="AI36:AL36"/>
    <mergeCell ref="BG42:BH42"/>
    <mergeCell ref="AU36:AW36"/>
    <mergeCell ref="BB36:BD36"/>
    <mergeCell ref="AY36:BA36"/>
    <mergeCell ref="AB51:AC51"/>
    <mergeCell ref="AE51:AH51"/>
    <mergeCell ref="AI51:AL51"/>
    <mergeCell ref="AT40:AV40"/>
    <mergeCell ref="AP42:AR42"/>
    <mergeCell ref="AW40:AX40"/>
    <mergeCell ref="BG38:BJ39"/>
    <mergeCell ref="BG36:BH36"/>
    <mergeCell ref="AF32:AG32"/>
    <mergeCell ref="AR30:AT30"/>
    <mergeCell ref="AM30:AO30"/>
    <mergeCell ref="AY32:BA32"/>
    <mergeCell ref="I53:AT53"/>
    <mergeCell ref="BH51:BJ51"/>
    <mergeCell ref="BE50:BS50"/>
    <mergeCell ref="AP49:AT49"/>
    <mergeCell ref="BN86:BP86"/>
    <mergeCell ref="BK85:BM85"/>
    <mergeCell ref="M36:N39"/>
    <mergeCell ref="Y28:Z31"/>
    <mergeCell ref="M28:N31"/>
    <mergeCell ref="BO58:BS58"/>
    <mergeCell ref="AM44:AS44"/>
    <mergeCell ref="BL48:BN48"/>
    <mergeCell ref="Y47:AC47"/>
    <mergeCell ref="BE51:BG51"/>
    <mergeCell ref="V47:X47"/>
    <mergeCell ref="BE48:BJ48"/>
    <mergeCell ref="AE47:AG47"/>
    <mergeCell ref="AV47:BA47"/>
    <mergeCell ref="AP47:AT47"/>
    <mergeCell ref="AH47:AN47"/>
  </mergeCells>
  <dataValidations count="4">
    <dataValidation type="list" allowBlank="1" showInputMessage="1" showErrorMessage="1" errorTitle="Pt100 eller Pt1000" error="Prøv igen med 1 eller 10" promptTitle="Pt100 eller Pt1000" prompt="Vælg din Sensor" sqref="P23:S24">
      <formula1>$Z$23:$Z$24</formula1>
    </dataValidation>
    <dataValidation type="list" allowBlank="1" showInputMessage="1" showErrorMessage="1" sqref="BL80:BP81">
      <formula1>$BX$83:$BX$85</formula1>
    </dataValidation>
    <dataValidation type="list" allowBlank="1" showInputMessage="1" showErrorMessage="1" errorTitle="Vout ved 100 °C" error="Prøv igen med 1 eller 10" promptTitle="Vout ved 100 °C" prompt="Vælg 1 volt_x000a_eller 10 volt" sqref="U23:X24">
      <formula1>$Z$23:$Z$24</formula1>
    </dataValidation>
    <dataValidation type="list" allowBlank="1" showInputMessage="1" showErrorMessage="1" errorTitle="Temperatur Valg" error="Fejl valgt_x000a_Prøv igen" promptTitle="Temperatur Valg" prompt="Fra 0 °C til 100  °C spring 1 °C_x000a_og_x000a_100°C  til 200 °C spring 10 °C" sqref="AR24:AT24">
      <formula1>$B$5:$B$115</formula1>
    </dataValidation>
  </dataValidations>
  <hyperlinks>
    <hyperlink ref="U111" r:id="rId1"/>
  </hyperlinks>
  <printOptions horizontalCentered="1" verticalCentered="1"/>
  <pageMargins left="0.11811023622047245" right="0" top="0" bottom="0" header="0" footer="0"/>
  <pageSetup paperSize="9" scale="51" orientation="portrait" r:id="rId2"/>
  <ignoredErrors>
    <ignoredError sqref="BR89 BG62 BV41 AY24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1"/>
  <sheetViews>
    <sheetView zoomScale="92" zoomScaleNormal="92" workbookViewId="0">
      <selection sqref="A1:AC1"/>
    </sheetView>
  </sheetViews>
  <sheetFormatPr defaultRowHeight="15"/>
  <sheetData>
    <row r="1" spans="1:29" ht="21" customHeight="1">
      <c r="A1" s="245" t="s">
        <v>188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</row>
    <row r="2" spans="1:29" ht="21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</row>
    <row r="3" spans="1:29" ht="21" customHeight="1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7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</row>
    <row r="4" spans="1:29" ht="21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</row>
    <row r="5" spans="1:29" ht="21" customHeight="1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</row>
    <row r="6" spans="1:29" ht="21" customHeight="1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</row>
    <row r="7" spans="1:29" ht="21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</row>
    <row r="8" spans="1:29" ht="21" customHeight="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</row>
    <row r="9" spans="1:29" ht="21" customHeigh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</row>
    <row r="10" spans="1:29" ht="21" customHeight="1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</row>
    <row r="11" spans="1:29" ht="21" customHeight="1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</row>
    <row r="12" spans="1:29" ht="21" customHeight="1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</row>
    <row r="13" spans="1:29" ht="21" customHeight="1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</row>
    <row r="14" spans="1:29" ht="21" customHeight="1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</row>
    <row r="15" spans="1:29" ht="21" customHeight="1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</row>
    <row r="16" spans="1:29" ht="21" customHeight="1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</row>
    <row r="17" spans="1:29" ht="21" customHeight="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</row>
    <row r="18" spans="1:29" ht="21" customHeight="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</row>
    <row r="19" spans="1:29" ht="21" customHeight="1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</row>
    <row r="20" spans="1:29" ht="21" customHeight="1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</row>
    <row r="21" spans="1:29" ht="21" customHeight="1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</row>
    <row r="22" spans="1:29" ht="21" customHeight="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</row>
    <row r="23" spans="1:29" ht="21" customHeight="1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</row>
    <row r="24" spans="1:29" ht="21" customHeight="1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67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</row>
    <row r="25" spans="1:29" ht="21" customHeight="1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0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</row>
    <row r="26" spans="1:29" ht="21" customHeight="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67" t="s">
        <v>97</v>
      </c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</row>
    <row r="27" spans="1:29" ht="21" customHeight="1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0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</row>
    <row r="28" spans="1:29" ht="21" customHeight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85" t="s">
        <v>98</v>
      </c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</row>
    <row r="29" spans="1:29" ht="21" customHeight="1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0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</row>
    <row r="30" spans="1:29" ht="21" customHeight="1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86" t="s">
        <v>99</v>
      </c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</row>
    <row r="31" spans="1:29" ht="21" customHeight="1">
      <c r="A31" s="129" t="s">
        <v>67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246" t="s">
        <v>189</v>
      </c>
      <c r="AC31" s="246"/>
    </row>
  </sheetData>
  <mergeCells count="2">
    <mergeCell ref="A1:AC1"/>
    <mergeCell ref="AB31:AC31"/>
  </mergeCells>
  <hyperlinks>
    <hyperlink ref="N28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4"/>
  <sheetViews>
    <sheetView workbookViewId="0">
      <selection sqref="A1:Y1"/>
    </sheetView>
  </sheetViews>
  <sheetFormatPr defaultRowHeight="18.75"/>
  <cols>
    <col min="1" max="1" width="14.5703125" style="94" customWidth="1"/>
    <col min="2" max="16" width="9.140625" style="1"/>
    <col min="17" max="17" width="11.140625" style="1" bestFit="1" customWidth="1"/>
    <col min="18" max="16384" width="9.140625" style="1"/>
  </cols>
  <sheetData>
    <row r="1" spans="1:25">
      <c r="A1" s="249" t="s">
        <v>100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5">
      <c r="A2" s="93"/>
      <c r="B2" s="78"/>
      <c r="C2" s="78"/>
      <c r="D2" s="78"/>
      <c r="E2" s="78"/>
      <c r="F2" s="78"/>
      <c r="G2" s="78"/>
      <c r="H2" s="78"/>
      <c r="I2" s="78"/>
      <c r="J2" s="126" t="s">
        <v>165</v>
      </c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>
      <c r="A3" s="93" t="s">
        <v>101</v>
      </c>
      <c r="B3" s="78" t="s">
        <v>163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1:25">
      <c r="A4" s="93" t="s">
        <v>113</v>
      </c>
      <c r="B4" s="75" t="s">
        <v>114</v>
      </c>
      <c r="C4" s="75"/>
      <c r="D4" s="75"/>
      <c r="E4" s="75"/>
      <c r="F4" s="75"/>
      <c r="G4" s="75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</row>
    <row r="5" spans="1:25">
      <c r="A5" s="93" t="s">
        <v>115</v>
      </c>
      <c r="B5" s="76" t="s">
        <v>116</v>
      </c>
      <c r="C5" s="76"/>
      <c r="D5" s="76"/>
      <c r="E5" s="76"/>
      <c r="F5" s="76"/>
      <c r="G5" s="76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</row>
    <row r="6" spans="1:25">
      <c r="A6" s="93" t="s">
        <v>117</v>
      </c>
      <c r="B6" s="77" t="s">
        <v>118</v>
      </c>
      <c r="C6" s="77"/>
      <c r="D6" s="77"/>
      <c r="E6" s="77"/>
      <c r="F6" s="77"/>
      <c r="G6" s="77"/>
      <c r="H6" s="77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7" spans="1:25">
      <c r="A7" s="93" t="s">
        <v>119</v>
      </c>
      <c r="B7" s="78" t="s">
        <v>164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125"/>
      <c r="S7" s="78"/>
      <c r="T7" s="78"/>
      <c r="U7" s="78"/>
      <c r="V7" s="78"/>
      <c r="W7" s="78"/>
      <c r="X7" s="78"/>
      <c r="Y7" s="78"/>
    </row>
    <row r="8" spans="1:25">
      <c r="A8" s="93" t="s">
        <v>120</v>
      </c>
      <c r="B8" s="78" t="s">
        <v>179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</row>
    <row r="9" spans="1:25">
      <c r="A9" s="93" t="s">
        <v>122</v>
      </c>
      <c r="B9" s="78" t="s">
        <v>121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</row>
    <row r="10" spans="1:25">
      <c r="A10" s="93" t="s">
        <v>123</v>
      </c>
      <c r="B10" s="78" t="s">
        <v>180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</row>
    <row r="11" spans="1:25">
      <c r="A11" s="93" t="s">
        <v>125</v>
      </c>
      <c r="B11" s="125" t="s">
        <v>140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</row>
    <row r="12" spans="1:25">
      <c r="A12" s="93" t="s">
        <v>126</v>
      </c>
      <c r="B12" s="78" t="s">
        <v>181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</row>
    <row r="13" spans="1:25">
      <c r="A13" s="93" t="s">
        <v>127</v>
      </c>
      <c r="B13" s="78" t="s">
        <v>187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</row>
    <row r="14" spans="1:25">
      <c r="A14" s="93" t="s">
        <v>128</v>
      </c>
      <c r="B14" s="78" t="s">
        <v>141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</row>
    <row r="15" spans="1:25">
      <c r="A15" s="93" t="s">
        <v>129</v>
      </c>
      <c r="B15" s="78" t="s">
        <v>182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</row>
    <row r="16" spans="1:25">
      <c r="A16" s="93" t="s">
        <v>131</v>
      </c>
      <c r="B16" s="78" t="s">
        <v>183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</row>
    <row r="17" spans="1:25">
      <c r="A17" s="93" t="s">
        <v>132</v>
      </c>
      <c r="B17" s="78" t="s">
        <v>130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</row>
    <row r="18" spans="1:25">
      <c r="A18" s="93" t="s">
        <v>133</v>
      </c>
      <c r="B18" s="78" t="s">
        <v>185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</row>
    <row r="19" spans="1:25">
      <c r="A19" s="93" t="s">
        <v>135</v>
      </c>
      <c r="B19" s="78" t="s">
        <v>134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</row>
    <row r="20" spans="1:25">
      <c r="A20" s="93" t="s">
        <v>136</v>
      </c>
      <c r="B20" s="78" t="s">
        <v>184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</row>
    <row r="21" spans="1:25">
      <c r="A21" s="93" t="s">
        <v>166</v>
      </c>
      <c r="B21" s="78" t="s">
        <v>167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</row>
    <row r="22" spans="1:25">
      <c r="A22" s="93" t="s">
        <v>186</v>
      </c>
      <c r="B22" s="78" t="s">
        <v>137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25">
      <c r="A23" s="93" t="s">
        <v>138</v>
      </c>
      <c r="B23" s="78" t="s">
        <v>139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</row>
    <row r="24" spans="1:25">
      <c r="A24" s="93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</row>
    <row r="25" spans="1:25">
      <c r="A25" s="93"/>
      <c r="B25" s="78"/>
      <c r="C25" s="78"/>
      <c r="D25" s="78"/>
      <c r="E25" s="78"/>
      <c r="F25" s="78"/>
      <c r="G25" s="78"/>
      <c r="H25" s="87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</row>
    <row r="26" spans="1:25">
      <c r="A26" s="93"/>
      <c r="B26" s="78"/>
      <c r="C26" s="78"/>
      <c r="D26" s="78"/>
      <c r="E26" s="78"/>
      <c r="F26" s="78"/>
      <c r="G26" s="78"/>
      <c r="H26" s="8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</row>
    <row r="27" spans="1:25">
      <c r="A27" s="93"/>
      <c r="B27" s="78"/>
      <c r="C27" s="78"/>
      <c r="D27" s="78"/>
      <c r="E27" s="78"/>
      <c r="F27" s="78"/>
      <c r="G27" s="78"/>
      <c r="H27" s="87" t="s">
        <v>97</v>
      </c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</row>
    <row r="28" spans="1:25">
      <c r="A28" s="93"/>
      <c r="B28" s="78"/>
      <c r="C28" s="78"/>
      <c r="D28" s="78"/>
      <c r="E28" s="78"/>
      <c r="F28" s="78"/>
      <c r="G28" s="78"/>
      <c r="H28" s="8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</row>
    <row r="29" spans="1:25">
      <c r="A29" s="93"/>
      <c r="B29" s="78"/>
      <c r="C29" s="78"/>
      <c r="D29" s="78"/>
      <c r="E29" s="78"/>
      <c r="F29" s="78"/>
      <c r="G29" s="78"/>
      <c r="H29" s="89" t="s">
        <v>98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</row>
    <row r="30" spans="1:25">
      <c r="A30" s="93"/>
      <c r="B30" s="78"/>
      <c r="C30" s="78"/>
      <c r="D30" s="78"/>
      <c r="E30" s="78"/>
      <c r="F30" s="78"/>
      <c r="G30" s="78"/>
      <c r="H30" s="8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</row>
    <row r="31" spans="1:25">
      <c r="A31" s="93"/>
      <c r="B31" s="78"/>
      <c r="C31" s="78"/>
      <c r="D31" s="78"/>
      <c r="E31" s="78"/>
      <c r="F31" s="78"/>
      <c r="G31" s="78"/>
      <c r="H31" s="90" t="s">
        <v>99</v>
      </c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</row>
    <row r="32" spans="1:25">
      <c r="A32" s="93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</row>
    <row r="33" spans="1:26">
      <c r="A33" s="93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</row>
    <row r="34" spans="1:26">
      <c r="A34" s="247" t="s">
        <v>67</v>
      </c>
      <c r="B34" s="247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248" t="s">
        <v>68</v>
      </c>
      <c r="Y34" s="248"/>
      <c r="Z34" s="91"/>
    </row>
  </sheetData>
  <mergeCells count="3">
    <mergeCell ref="A34:B34"/>
    <mergeCell ref="X34:Y34"/>
    <mergeCell ref="A1:Y1"/>
  </mergeCells>
  <hyperlinks>
    <hyperlink ref="H29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LF353</vt:lpstr>
      <vt:lpstr>Pt100 Pt1000</vt:lpstr>
      <vt:lpstr>Manuals</vt:lpstr>
      <vt:lpstr>'LF353'!Udskriftsområde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cp:lastPrinted>2017-07-19T06:08:35Z</cp:lastPrinted>
  <dcterms:created xsi:type="dcterms:W3CDTF">2017-06-30T14:18:07Z</dcterms:created>
  <dcterms:modified xsi:type="dcterms:W3CDTF">2018-09-20T07:11:53Z</dcterms:modified>
</cp:coreProperties>
</file>