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60" yWindow="285" windowWidth="20100" windowHeight="9210"/>
  </bookViews>
  <sheets>
    <sheet name="NPN" sheetId="1" r:id="rId1"/>
    <sheet name="PNP" sheetId="3" r:id="rId2"/>
    <sheet name="2N2222A" sheetId="7" r:id="rId3"/>
    <sheet name="BC547B" sheetId="6" r:id="rId4"/>
    <sheet name="2N2907A" sheetId="5" r:id="rId5"/>
    <sheet name="BC557B" sheetId="4" r:id="rId6"/>
    <sheet name="Q point" sheetId="2" r:id="rId7"/>
  </sheets>
  <calcPr calcId="125725"/>
</workbook>
</file>

<file path=xl/calcChain.xml><?xml version="1.0" encoding="utf-8"?>
<calcChain xmlns="http://schemas.openxmlformats.org/spreadsheetml/2006/main">
  <c r="W32" i="3"/>
  <c r="W59" s="1"/>
  <c r="W31"/>
  <c r="W58" s="1"/>
  <c r="W32" i="1"/>
  <c r="W59" s="1"/>
  <c r="W31"/>
  <c r="W58" s="1"/>
  <c r="V58"/>
  <c r="V31"/>
  <c r="V5"/>
  <c r="J93" i="7"/>
  <c r="J69"/>
  <c r="J45"/>
  <c r="V59" i="1"/>
  <c r="V32"/>
  <c r="J93" i="6"/>
  <c r="J69"/>
  <c r="J45"/>
  <c r="V6" i="1" s="1"/>
  <c r="V58" i="3"/>
  <c r="V59"/>
  <c r="V31"/>
  <c r="J69" i="5"/>
  <c r="J93"/>
  <c r="V5" i="3"/>
  <c r="J45" i="5"/>
  <c r="V6" i="3"/>
  <c r="J93" i="4"/>
  <c r="V32" i="3" s="1"/>
  <c r="J69" i="4"/>
  <c r="J45"/>
  <c r="AL18" i="3"/>
  <c r="AL45" s="1"/>
  <c r="AL72" s="1"/>
  <c r="AB15"/>
  <c r="AB42" s="1"/>
  <c r="AB69" s="1"/>
  <c r="AB15" i="1"/>
  <c r="AB42" s="1"/>
  <c r="AB69" s="1"/>
  <c r="AL18"/>
  <c r="AL45" s="1"/>
  <c r="AL72" s="1"/>
  <c r="C6"/>
  <c r="V3" s="1"/>
  <c r="S43" i="3"/>
  <c r="S40"/>
  <c r="S40" i="1"/>
  <c r="S37" s="1"/>
  <c r="S43"/>
  <c r="S1" i="3"/>
  <c r="Y4" s="1"/>
  <c r="S1" i="1"/>
  <c r="W29" s="1"/>
  <c r="S17" i="3"/>
  <c r="S16"/>
  <c r="S14"/>
  <c r="S13"/>
  <c r="S11"/>
  <c r="R11"/>
  <c r="AJ21" s="1"/>
  <c r="AJ48" s="1"/>
  <c r="AJ75" s="1"/>
  <c r="S10"/>
  <c r="S9"/>
  <c r="S8"/>
  <c r="R8"/>
  <c r="AF13" s="1"/>
  <c r="AF40" s="1"/>
  <c r="AF67" s="1"/>
  <c r="S7"/>
  <c r="S6"/>
  <c r="H201"/>
  <c r="J201" s="1"/>
  <c r="O201" s="1"/>
  <c r="J177"/>
  <c r="H177"/>
  <c r="H176"/>
  <c r="J176" s="1"/>
  <c r="O176" s="1"/>
  <c r="J175"/>
  <c r="H175"/>
  <c r="F99"/>
  <c r="I99" s="1"/>
  <c r="F100" s="1"/>
  <c r="I100" s="1"/>
  <c r="R17" s="1"/>
  <c r="AG16" s="1"/>
  <c r="AG43" s="1"/>
  <c r="AG70" s="1"/>
  <c r="F98"/>
  <c r="F97" s="1"/>
  <c r="F31" s="1"/>
  <c r="J86"/>
  <c r="E75"/>
  <c r="F70"/>
  <c r="I50"/>
  <c r="I83" s="1"/>
  <c r="I49"/>
  <c r="I82" s="1"/>
  <c r="D20"/>
  <c r="D19"/>
  <c r="D17"/>
  <c r="D10"/>
  <c r="F10" s="1"/>
  <c r="J10" s="1"/>
  <c r="C6"/>
  <c r="V3" s="1"/>
  <c r="C91" i="1"/>
  <c r="S17"/>
  <c r="S16"/>
  <c r="S10"/>
  <c r="S14"/>
  <c r="S13"/>
  <c r="S11"/>
  <c r="S9"/>
  <c r="S8"/>
  <c r="S7"/>
  <c r="S6"/>
  <c r="R11"/>
  <c r="AJ21" s="1"/>
  <c r="AJ48" s="1"/>
  <c r="AJ75" s="1"/>
  <c r="R8"/>
  <c r="AF13" s="1"/>
  <c r="AF40" s="1"/>
  <c r="AF67" s="1"/>
  <c r="H201"/>
  <c r="N201" s="1"/>
  <c r="J175"/>
  <c r="H175"/>
  <c r="H177"/>
  <c r="J177" s="1"/>
  <c r="H176"/>
  <c r="J176" s="1"/>
  <c r="D19"/>
  <c r="D17"/>
  <c r="J86"/>
  <c r="I49"/>
  <c r="I82" s="1"/>
  <c r="I50"/>
  <c r="I83" s="1"/>
  <c r="F99"/>
  <c r="I99" s="1"/>
  <c r="F100" s="1"/>
  <c r="I100" s="1"/>
  <c r="R17" s="1"/>
  <c r="AG16" s="1"/>
  <c r="F98"/>
  <c r="F97" s="1"/>
  <c r="I97" s="1"/>
  <c r="Y57" l="1"/>
  <c r="W56"/>
  <c r="Y30"/>
  <c r="Y4"/>
  <c r="W3"/>
  <c r="AG43"/>
  <c r="AG70" s="1"/>
  <c r="V29"/>
  <c r="V56"/>
  <c r="W56" i="3"/>
  <c r="W3"/>
  <c r="Y57"/>
  <c r="W29"/>
  <c r="Y30"/>
  <c r="V56"/>
  <c r="S37"/>
  <c r="L33" s="1"/>
  <c r="L33" i="1"/>
  <c r="V29" i="3"/>
  <c r="O177" i="1"/>
  <c r="O176"/>
  <c r="N201" i="3"/>
  <c r="J201" i="1"/>
  <c r="O201" s="1"/>
  <c r="F31"/>
  <c r="N177" i="3"/>
  <c r="O177"/>
  <c r="N176"/>
  <c r="D15"/>
  <c r="I97"/>
  <c r="D11"/>
  <c r="F11" s="1"/>
  <c r="D16"/>
  <c r="J16" s="1"/>
  <c r="N177" i="1"/>
  <c r="N176"/>
  <c r="C91" i="3" l="1"/>
  <c r="B4"/>
  <c r="D12"/>
  <c r="F12" s="1"/>
  <c r="S44" s="1"/>
  <c r="S32" s="1"/>
  <c r="D18"/>
  <c r="F26"/>
  <c r="D27" s="1"/>
  <c r="F23"/>
  <c r="D24" s="1"/>
  <c r="F24" s="1"/>
  <c r="I24" s="1"/>
  <c r="F70" i="1"/>
  <c r="E75"/>
  <c r="D20"/>
  <c r="D10"/>
  <c r="D11" s="1"/>
  <c r="F11" s="1"/>
  <c r="F33" i="3" l="1"/>
  <c r="R7"/>
  <c r="AB21" s="1"/>
  <c r="AB48" s="1"/>
  <c r="AB75" s="1"/>
  <c r="D28"/>
  <c r="D91"/>
  <c r="F91"/>
  <c r="I91" s="1"/>
  <c r="F27"/>
  <c r="I27" s="1"/>
  <c r="R6" s="1"/>
  <c r="AB13" s="1"/>
  <c r="AB40" s="1"/>
  <c r="AB67" s="1"/>
  <c r="F18"/>
  <c r="F10" i="1"/>
  <c r="J10" s="1"/>
  <c r="D16"/>
  <c r="J16" s="1"/>
  <c r="D12"/>
  <c r="F32" i="3" l="1"/>
  <c r="F36" s="1"/>
  <c r="F73"/>
  <c r="D13" s="1"/>
  <c r="F13" s="1"/>
  <c r="F35" s="1"/>
  <c r="F34" s="1"/>
  <c r="F38" s="1"/>
  <c r="V57" s="1"/>
  <c r="F37"/>
  <c r="V30" s="1"/>
  <c r="F12" i="1"/>
  <c r="F33" s="1"/>
  <c r="F28" i="3"/>
  <c r="I28"/>
  <c r="F47"/>
  <c r="F48" s="1"/>
  <c r="I48" s="1"/>
  <c r="R13" s="1"/>
  <c r="AB52" s="1"/>
  <c r="F90"/>
  <c r="I90" s="1"/>
  <c r="D15" i="1"/>
  <c r="B4"/>
  <c r="I73" i="3" l="1"/>
  <c r="R10" s="1"/>
  <c r="AF79" s="1"/>
  <c r="F80"/>
  <c r="F81" s="1"/>
  <c r="I81" s="1"/>
  <c r="R14" s="1"/>
  <c r="AB77" s="1"/>
  <c r="O75"/>
  <c r="V4"/>
  <c r="F91" i="1"/>
  <c r="F90" s="1"/>
  <c r="I90" s="1"/>
  <c r="S44"/>
  <c r="S32" s="1"/>
  <c r="D28"/>
  <c r="F37"/>
  <c r="V30" s="1"/>
  <c r="D91"/>
  <c r="G75" i="3"/>
  <c r="R9"/>
  <c r="AF21" s="1"/>
  <c r="AF48" s="1"/>
  <c r="AF75" s="1"/>
  <c r="F89"/>
  <c r="I89" s="1"/>
  <c r="F49"/>
  <c r="F50"/>
  <c r="D18" i="1"/>
  <c r="F26"/>
  <c r="D27" s="1"/>
  <c r="F23"/>
  <c r="D24" s="1"/>
  <c r="F82" i="3" l="1"/>
  <c r="I75"/>
  <c r="F83"/>
  <c r="F32" i="1"/>
  <c r="F36" s="1"/>
  <c r="V4" s="1"/>
  <c r="I91"/>
  <c r="F73"/>
  <c r="I73" s="1"/>
  <c r="F28"/>
  <c r="I28"/>
  <c r="R9" s="1"/>
  <c r="AF21" s="1"/>
  <c r="AF48" s="1"/>
  <c r="AF75" s="1"/>
  <c r="F47"/>
  <c r="F48" s="1"/>
  <c r="F49" s="1"/>
  <c r="F92" i="3"/>
  <c r="F93" s="1"/>
  <c r="I93" s="1"/>
  <c r="R16" s="1"/>
  <c r="Y18" s="1"/>
  <c r="Y45" s="1"/>
  <c r="Y72" s="1"/>
  <c r="F18" i="1"/>
  <c r="F89"/>
  <c r="F27"/>
  <c r="F24"/>
  <c r="I24" s="1"/>
  <c r="D13" l="1"/>
  <c r="F13" s="1"/>
  <c r="F35" s="1"/>
  <c r="F34" s="1"/>
  <c r="F38" s="1"/>
  <c r="V57" s="1"/>
  <c r="O75"/>
  <c r="F80"/>
  <c r="F81" s="1"/>
  <c r="I81" s="1"/>
  <c r="R14" s="1"/>
  <c r="AB77" s="1"/>
  <c r="F50"/>
  <c r="G75"/>
  <c r="I48"/>
  <c r="R13" s="1"/>
  <c r="AB50" s="1"/>
  <c r="I92" i="3"/>
  <c r="I75" i="1"/>
  <c r="R10"/>
  <c r="AF79" s="1"/>
  <c r="F92"/>
  <c r="I89"/>
  <c r="I27"/>
  <c r="R6" s="1"/>
  <c r="AB13" s="1"/>
  <c r="AB40" s="1"/>
  <c r="AB67" s="1"/>
  <c r="R7"/>
  <c r="AB21" s="1"/>
  <c r="AB48" s="1"/>
  <c r="AB75" s="1"/>
  <c r="F82" l="1"/>
  <c r="F83"/>
  <c r="F93"/>
  <c r="I93" s="1"/>
  <c r="R16" s="1"/>
  <c r="Y18" s="1"/>
  <c r="Y45" s="1"/>
  <c r="Y72" s="1"/>
  <c r="I92"/>
</calcChain>
</file>

<file path=xl/sharedStrings.xml><?xml version="1.0" encoding="utf-8"?>
<sst xmlns="http://schemas.openxmlformats.org/spreadsheetml/2006/main" count="795" uniqueCount="255">
  <si>
    <t>mA</t>
  </si>
  <si>
    <t>Volt</t>
  </si>
  <si>
    <t>Ohm</t>
  </si>
  <si>
    <r>
      <t>k</t>
    </r>
    <r>
      <rPr>
        <b/>
        <sz val="11"/>
        <color theme="1"/>
        <rFont val="Calibri"/>
        <family val="2"/>
      </rPr>
      <t>Ω</t>
    </r>
  </si>
  <si>
    <t>Ω</t>
  </si>
  <si>
    <t>Vcc</t>
  </si>
  <si>
    <t xml:space="preserve"> Volt</t>
  </si>
  <si>
    <t>IB = Base strøm</t>
  </si>
  <si>
    <t>RC vælges</t>
  </si>
  <si>
    <t>VB = VE + VBE =</t>
  </si>
  <si>
    <t>R2 = VB/IR2 =</t>
  </si>
  <si>
    <t>R1 = (Vcc - VB)/IR1 =</t>
  </si>
  <si>
    <t>VE vælges</t>
  </si>
  <si>
    <t>IE = Emitter strøm</t>
  </si>
  <si>
    <t>uF</t>
  </si>
  <si>
    <t>Emitter by-pass kondensator:</t>
  </si>
  <si>
    <t>Træerne vokser som bekendt ikke ind i himlen, så der er også ulemper ved at indsætte en emitter by-pass kondensator.</t>
  </si>
  <si>
    <t>Emitter by-pass kondensatoren bevirker en ensartet forstærkning ved spredning af beta værdierne for den enkelte transistor.</t>
  </si>
  <si>
    <t>Common Emitter Amplifier</t>
  </si>
  <si>
    <t>En af de største ulemper er, at ved høje frekvenser bliver kondensatorens reaktans XC så lav, at den simpelt hen kortslutter</t>
  </si>
  <si>
    <t>Split Emitter Modstand:</t>
  </si>
  <si>
    <t>beregningen af signalparametre, ved de høje frekvenser. Den virker som en kortslutning ved høje frekvenser.</t>
  </si>
  <si>
    <t>Derefter vil DC forstærkningen være:</t>
  </si>
  <si>
    <t>Men bemærk, at AC forstærkningen vil være den samme på:</t>
  </si>
  <si>
    <t xml:space="preserve">Nedre </t>
  </si>
  <si>
    <t>f3dB</t>
  </si>
  <si>
    <t xml:space="preserve">Øvre </t>
  </si>
  <si>
    <t>DC Gain</t>
  </si>
  <si>
    <t xml:space="preserve"> Når RE2 isoleres fås flg.:</t>
  </si>
  <si>
    <t>Vi sagde tidligere, at forstærkningen i vores Common Emitter Amplifier kredsløb, som vist ovenfor, var lig med: RC / RE. Men nu bliver DC forstærkningen:</t>
  </si>
  <si>
    <t>Hvad skal værdien af modstand RE2 så være. Tja, den vil afhænge af den krævede DC spændings forstærkning ved den nedre frekvens cut-off point.</t>
  </si>
  <si>
    <t>K3</t>
  </si>
  <si>
    <t>K4</t>
  </si>
  <si>
    <t>DC Gain = RC / (RE1 + RE2) = K4</t>
  </si>
  <si>
    <t xml:space="preserve"> Ω</t>
  </si>
  <si>
    <r>
      <t xml:space="preserve"> k</t>
    </r>
    <r>
      <rPr>
        <sz val="11"/>
        <color rgb="FFFF0000"/>
        <rFont val="Calibri"/>
        <family val="2"/>
      </rPr>
      <t>Ω</t>
    </r>
  </si>
  <si>
    <t xml:space="preserve"> uF</t>
  </si>
  <si>
    <t>RC / (RE1 + RE2). Derfor, hvis vi vælger en DC gain på:</t>
  </si>
  <si>
    <t>beregnes værdien af emitter modstand, RE2 som:</t>
  </si>
  <si>
    <t>RE2 = (RC/K4 - RE1) =</t>
  </si>
  <si>
    <t>Ny emitter by-pass kondensator:</t>
  </si>
  <si>
    <t xml:space="preserve"> kΩ</t>
  </si>
  <si>
    <t>emitter kredsløbet med en by-pass kondensator forbundet i parallel over den nederste modstand RE2.</t>
  </si>
  <si>
    <r>
      <t xml:space="preserve"> k</t>
    </r>
    <r>
      <rPr>
        <sz val="11"/>
        <color theme="1"/>
        <rFont val="Calibri"/>
        <family val="2"/>
      </rPr>
      <t>Ω</t>
    </r>
  </si>
  <si>
    <t xml:space="preserve">  uF</t>
  </si>
  <si>
    <t>Andre værdier af strøm faktorer</t>
  </si>
  <si>
    <t xml:space="preserve">www.walter-lystfisker.dk </t>
  </si>
  <si>
    <t>COPYRIGHT © 2014</t>
  </si>
  <si>
    <r>
      <t xml:space="preserve">Udarbejdet af Jørgen Walter </t>
    </r>
    <r>
      <rPr>
        <sz val="12"/>
        <color indexed="8"/>
        <rFont val="Calibri"/>
        <family val="2"/>
      </rPr>
      <t>©</t>
    </r>
  </si>
  <si>
    <r>
      <t xml:space="preserve">Vælg en </t>
    </r>
    <r>
      <rPr>
        <b/>
        <sz val="12"/>
        <color theme="1"/>
        <rFont val="Calibri"/>
        <family val="2"/>
        <scheme val="minor"/>
      </rPr>
      <t>NPN</t>
    </r>
    <r>
      <rPr>
        <sz val="11"/>
        <color theme="1"/>
        <rFont val="Calibri"/>
        <family val="2"/>
        <scheme val="minor"/>
      </rPr>
      <t xml:space="preserve"> transistor og indsæt disse data herunder:</t>
    </r>
  </si>
  <si>
    <t>VBE volt</t>
  </si>
  <si>
    <t>walter</t>
  </si>
  <si>
    <t>Reg. No. 1270</t>
  </si>
  <si>
    <r>
      <t xml:space="preserve">Ønsker du en anden faktor </t>
    </r>
    <r>
      <rPr>
        <b/>
        <sz val="11"/>
        <color theme="1"/>
        <rFont val="Calibri"/>
        <family val="2"/>
        <scheme val="minor"/>
      </rPr>
      <t>K4</t>
    </r>
    <r>
      <rPr>
        <sz val="11"/>
        <color theme="1"/>
        <rFont val="Calibri"/>
        <family val="2"/>
        <scheme val="minor"/>
      </rPr>
      <t xml:space="preserve"> for DC Gain, så tast den her:</t>
    </r>
  </si>
  <si>
    <r>
      <t xml:space="preserve">R2 skal beregnes. Normalt skal strømmen gennem R2 være </t>
    </r>
    <r>
      <rPr>
        <b/>
        <sz val="12"/>
        <rFont val="Calibri"/>
        <family val="2"/>
        <scheme val="minor"/>
      </rPr>
      <t>10</t>
    </r>
    <r>
      <rPr>
        <sz val="12"/>
        <rFont val="Calibri"/>
        <family val="2"/>
        <scheme val="minor"/>
      </rPr>
      <t xml:space="preserve"> gange IB</t>
    </r>
  </si>
  <si>
    <r>
      <t xml:space="preserve">R1 skal beregnes. Normalt skal strømmen gennem R1 være </t>
    </r>
    <r>
      <rPr>
        <b/>
        <sz val="12"/>
        <rFont val="Calibri"/>
        <family val="2"/>
        <scheme val="minor"/>
      </rPr>
      <t>11</t>
    </r>
    <r>
      <rPr>
        <sz val="12"/>
        <rFont val="Calibri"/>
        <family val="2"/>
        <scheme val="minor"/>
      </rPr>
      <t xml:space="preserve"> gange IB</t>
    </r>
  </si>
  <si>
    <t>emitter by-pass kondensatoren. Ovenfor ses XChøj for den valgte øvre grænsefrekvens. Derfor opdeles emitter modstanden i to.</t>
  </si>
  <si>
    <t>Test punkterne A, B, C og D på diagrammet ovenfor</t>
  </si>
  <si>
    <t>Testpunkt A:</t>
  </si>
  <si>
    <t>Vrms</t>
  </si>
  <si>
    <t>mVpp</t>
  </si>
  <si>
    <t>Max ampl.</t>
  </si>
  <si>
    <t>Min ampl.</t>
  </si>
  <si>
    <t>Testpunkt B:</t>
  </si>
  <si>
    <t>AV = Vout/Vin =</t>
  </si>
  <si>
    <t>Testpunkt D:</t>
  </si>
  <si>
    <t>En Split Emitter Amplifier har forstærknings værdier for spænding og input impedans et sted mellem en fuld by-pass emitter forstærker og en ikke by-pass emitter forstærker</t>
  </si>
  <si>
    <t>afhængigt af operations frekvensen.</t>
  </si>
  <si>
    <t>Herunder ses alle testpunkter: Grøn indgangs signal. Gul udgangs signal 1. Ampl. Blå udgangs signal 2. Ampl. Lilla udgangs dignal 3. Ampl.</t>
  </si>
  <si>
    <t>Emitter modstanden RE1 i diagrammet Fig. 1 ovenfor har to funktioner. 1. DC negativ feedback for stabil base forspænding (biasing). 2. AC negativ feedback for signalet og spændings</t>
  </si>
  <si>
    <t>forstærkningen (gain). Det medfører en reduktion af forstærkningen på grund af, at der sker en fluktuation i IE strømmen, når AC signalet på indgangen ændre sig.</t>
  </si>
  <si>
    <t>For at afhjælpe dette problem kan der indføres en kondensator CE (Emitter by-pass kondensator). Se diagrammet i Fig. 2 nedenfor. Kondensatoren har et åbent kredsløb for DC,</t>
  </si>
  <si>
    <t>men en reaktans XC for AC, som er afhængig af signalet (frekvensen). Reaktansen XC vælges til 1/10 af Emitter modstanden RE1 ved den nedre cut-off frekvens.</t>
  </si>
  <si>
    <r>
      <t xml:space="preserve">Ved lave frekvenser mister forstærkeren dog nogen Gain. Ønsker du en anden faktor </t>
    </r>
    <r>
      <rPr>
        <b/>
        <sz val="11"/>
        <color theme="1"/>
        <rFont val="Calibri"/>
        <family val="2"/>
        <scheme val="minor"/>
      </rPr>
      <t>K3</t>
    </r>
    <r>
      <rPr>
        <sz val="11"/>
        <color theme="1"/>
        <rFont val="Calibri"/>
        <family val="2"/>
        <scheme val="minor"/>
      </rPr>
      <t xml:space="preserve"> , så tast den her:</t>
    </r>
  </si>
  <si>
    <t>NB: Den interne modstand rE bliver ikke by-passed af C3</t>
  </si>
  <si>
    <r>
      <t xml:space="preserve">Vælg </t>
    </r>
    <r>
      <rPr>
        <sz val="11"/>
        <color theme="1"/>
        <rFont val="Calibri"/>
        <family val="2"/>
      </rPr>
      <t xml:space="preserve">ẞ </t>
    </r>
    <r>
      <rPr>
        <sz val="11"/>
        <color theme="1"/>
        <rFont val="Calibri"/>
        <family val="2"/>
        <scheme val="minor"/>
      </rPr>
      <t>fra data blad</t>
    </r>
  </si>
  <si>
    <t>VCE = VCC - VE - (RC*ICQ) =</t>
  </si>
  <si>
    <t>Indgangsimpedans</t>
  </si>
  <si>
    <t>Udgangsimpedans</t>
  </si>
  <si>
    <t>hvor hoe =</t>
  </si>
  <si>
    <t>eller</t>
  </si>
  <si>
    <t>kΩ</t>
  </si>
  <si>
    <t xml:space="preserve">Grænse frekvens i Hz </t>
  </si>
  <si>
    <t>De røde afrundet værdier indsættes i diagrammerne</t>
  </si>
  <si>
    <t xml:space="preserve">http://www.electronics-tutorials.ws/transistor/tran_2.html </t>
  </si>
  <si>
    <t>Zud = RC//(1/hoe) =</t>
  </si>
  <si>
    <t>C2 kigger ind i RL som er belastningen XC2 =</t>
  </si>
  <si>
    <t xml:space="preserve">http://hyperphysics.phy-astr.gsu.edu/hbase/electronic/loadline.html#c2 </t>
  </si>
  <si>
    <t xml:space="preserve"> mA</t>
  </si>
  <si>
    <t>Indgangsimpedansen bestemmes af komponenterne på indgangen: R1, R2 og hie. Set fra signalgeneratoren ligger modstandene parallelt</t>
  </si>
  <si>
    <t>Zin = R1//R2 // hie = 1/((1/R1)+(1/R2)+(1/hie)) =</t>
  </si>
  <si>
    <t>Fordelen er, at vi kan styre AC forstærkerens forstærkning over hele spektret af indgangsfrekvenser. På DC siden bliver den samlede værdi af</t>
  </si>
  <si>
    <t>og  RE2 =</t>
  </si>
  <si>
    <t>med  RE1 =</t>
  </si>
  <si>
    <r>
      <rPr>
        <b/>
        <sz val="11"/>
        <color theme="1"/>
        <rFont val="Calibri"/>
        <family val="2"/>
        <scheme val="minor"/>
      </rPr>
      <t>ICQ</t>
    </r>
    <r>
      <rPr>
        <sz val="11"/>
        <color theme="1"/>
        <rFont val="Calibri"/>
        <family val="2"/>
        <scheme val="minor"/>
      </rPr>
      <t xml:space="preserve"> = ½*Vcc/Rc =</t>
    </r>
  </si>
  <si>
    <r>
      <rPr>
        <b/>
        <sz val="11"/>
        <color theme="1"/>
        <rFont val="Calibri"/>
        <family val="2"/>
        <scheme val="minor"/>
      </rPr>
      <t>IB</t>
    </r>
    <r>
      <rPr>
        <sz val="11"/>
        <color theme="1"/>
        <rFont val="Calibri"/>
        <family val="2"/>
        <scheme val="minor"/>
      </rPr>
      <t xml:space="preserve"> = ICQ/</t>
    </r>
    <r>
      <rPr>
        <sz val="11"/>
        <color theme="1"/>
        <rFont val="Calibri"/>
        <family val="2"/>
      </rPr>
      <t>ẞ =</t>
    </r>
  </si>
  <si>
    <r>
      <rPr>
        <b/>
        <sz val="11"/>
        <color theme="1"/>
        <rFont val="Calibri"/>
        <family val="2"/>
        <scheme val="minor"/>
      </rPr>
      <t>IE</t>
    </r>
    <r>
      <rPr>
        <sz val="11"/>
        <color theme="1"/>
        <rFont val="Calibri"/>
        <family val="2"/>
        <scheme val="minor"/>
      </rPr>
      <t>=ICQ+IB=</t>
    </r>
  </si>
  <si>
    <t>VRC = ICQ * RC =</t>
  </si>
  <si>
    <t>VE skal vælges =</t>
  </si>
  <si>
    <t>normal vil den være mellem 1 volt og 2 volt, eller 10% af Vcc</t>
  </si>
  <si>
    <t>VBE er normal =</t>
  </si>
  <si>
    <t>for silicium transistorer (Base Emitter spændingen)</t>
  </si>
  <si>
    <t xml:space="preserve"> V</t>
  </si>
  <si>
    <t>IR2 = K2 * IB =</t>
  </si>
  <si>
    <r>
      <rPr>
        <b/>
        <sz val="11"/>
        <color theme="1"/>
        <rFont val="Calibri"/>
        <family val="2"/>
        <scheme val="minor"/>
      </rPr>
      <t>K2</t>
    </r>
    <r>
      <rPr>
        <sz val="11"/>
        <color theme="1"/>
        <rFont val="Calibri"/>
        <family val="2"/>
        <scheme val="minor"/>
      </rPr>
      <t xml:space="preserve"> strøm faktor R2</t>
    </r>
  </si>
  <si>
    <t>IR1 = K1 * IB =</t>
  </si>
  <si>
    <r>
      <rPr>
        <b/>
        <sz val="11"/>
        <color theme="1"/>
        <rFont val="Calibri"/>
        <family val="2"/>
        <scheme val="minor"/>
      </rPr>
      <t>K1</t>
    </r>
    <r>
      <rPr>
        <sz val="11"/>
        <color theme="1"/>
        <rFont val="Calibri"/>
        <family val="2"/>
        <scheme val="minor"/>
      </rPr>
      <t xml:space="preserve"> strøm faktor R1</t>
    </r>
  </si>
  <si>
    <t>Vcc kontrol =</t>
  </si>
  <si>
    <t>R1</t>
  </si>
  <si>
    <t>R2</t>
  </si>
  <si>
    <t>RC</t>
  </si>
  <si>
    <t>RL</t>
  </si>
  <si>
    <t>Det var modstandene</t>
  </si>
  <si>
    <t>Det var afkoblings kondensatorerne</t>
  </si>
  <si>
    <t>XC2 = RE2/K3 =</t>
  </si>
  <si>
    <t>Det var overførings kondensatorerne</t>
  </si>
  <si>
    <t>RE2</t>
  </si>
  <si>
    <t>Herunder ses et diagram for alle 3 forstærker med simulations værdier fra mit computer program med default standard værdier</t>
  </si>
  <si>
    <t>Værdierne herunder er de aktuelle værdier</t>
  </si>
  <si>
    <t>RE1</t>
  </si>
  <si>
    <t>C3</t>
  </si>
  <si>
    <t>C4</t>
  </si>
  <si>
    <t>Modstanden RE1 i emitter er blevet opdelt i to modstande: RE1 og RE2 som danner en spændingsdeler i</t>
  </si>
  <si>
    <t>Den øverste modstand, RE1 har den samme værdi  som før, men er nu ikke by-passed af kondensatoren C3, hvilket skal tages i betragtning,</t>
  </si>
  <si>
    <t>når signal parametre beregnes. Den nederste modstand RE2 er forbundet i parallel med kondensatoren C4, som anses for at være nul Ohm ved</t>
  </si>
  <si>
    <t>emitter modstanden (RE1 + RE2). Mens på AC siden ved højere frekvenser bliver emitter modstand blot: RE1, den samme værdi,</t>
  </si>
  <si>
    <t>som den havde i den oprindelige ikke by-passed kredsløb, som vist i fig. 1.</t>
  </si>
  <si>
    <t>C1 - C12 - C13</t>
  </si>
  <si>
    <t>C2 - C22 - C23</t>
  </si>
  <si>
    <t>Lad os se på signal overførings kondensatorerne C1, C12 og C13, hvor store skal de være ved "cut-off" frekvensen f3dB?</t>
  </si>
  <si>
    <t>C1 kigger ind i en impedans på Zin:</t>
  </si>
  <si>
    <t>RE1 = VE/IE =</t>
  </si>
  <si>
    <t>XC = RE1/K3 =</t>
  </si>
  <si>
    <t>Herunder ses frekvens kurven for Ampl. 1 gul kurve.  Viser cut-off frekvens på ca. 90 Hz</t>
  </si>
  <si>
    <t>Herunder ses frekvens kurven for Ampl. 3 lilla kurve.  Viser cut-off frekvens på 100 Hz</t>
  </si>
  <si>
    <t>Herunder ses frekvens kurven for Ampl. 2 blå kurve.  Viser cut-off frekvens på ca. 400 Hz</t>
  </si>
  <si>
    <t>ZE med C3 = rE for afkoblet emitter =</t>
  </si>
  <si>
    <t>mV</t>
  </si>
  <si>
    <t>hvor re =</t>
  </si>
  <si>
    <t>som skifter med indsatte data</t>
  </si>
  <si>
    <t>umhos</t>
  </si>
  <si>
    <t>hvor hie = re * hfe =  (hie iflg. data blad 0,25KΩ til 8kΩ)</t>
  </si>
  <si>
    <t>se nederst på siden under udgangsimpedans</t>
  </si>
  <si>
    <t>*Min</t>
  </si>
  <si>
    <t>*Max</t>
  </si>
  <si>
    <t>Gain  (med C3) = (Zud//RL)/ZE med C3 =</t>
  </si>
  <si>
    <t xml:space="preserve"> A</t>
  </si>
  <si>
    <t>C3 = 1/(2pi*f3dB lav*XC =</t>
  </si>
  <si>
    <t>XClav = 1/(2pi*f3dB lav*CE =</t>
  </si>
  <si>
    <t>XChøj = 1/(2pi*f3dB høj*CE =</t>
  </si>
  <si>
    <t>C 1= 1/(2pi*f3dB lav*Zin =</t>
  </si>
  <si>
    <t>C4 = 1/(2pi*f3dB lav*XC =</t>
  </si>
  <si>
    <t>XC2lav = 1/(2pi*f3dB lav*CE =</t>
  </si>
  <si>
    <t>XC2høj = 1/(2pi*f3dB høj*CE =</t>
  </si>
  <si>
    <t>C2 = 1/(2pi*f3dB lav*XC2 =</t>
  </si>
  <si>
    <t>Beregning af en DC Stabiliseret AC BJT NPN forstærker med fælles emitter kobling</t>
  </si>
  <si>
    <t>Beregning af en DC Stabiliseret AC BJT PNP forstærker med fælles emitter kobling</t>
  </si>
  <si>
    <t>NPN Transistor:</t>
  </si>
  <si>
    <t>Liste for VBE i volt</t>
  </si>
  <si>
    <t>Silicium BJT</t>
  </si>
  <si>
    <t>Germanium</t>
  </si>
  <si>
    <t>PNP Transistor:</t>
  </si>
  <si>
    <r>
      <t xml:space="preserve">Vælg en </t>
    </r>
    <r>
      <rPr>
        <b/>
        <sz val="11"/>
        <color theme="1"/>
        <rFont val="Calibri"/>
        <family val="2"/>
        <scheme val="minor"/>
      </rPr>
      <t>PNP</t>
    </r>
    <r>
      <rPr>
        <sz val="11"/>
        <color theme="1"/>
        <rFont val="Calibri"/>
        <family val="2"/>
        <scheme val="minor"/>
      </rPr>
      <t xml:space="preserve"> transistor og indsæt disse data herunder:</t>
    </r>
  </si>
  <si>
    <t>Herunder ses frekvens kurven for Ampl. 3 lilla kurve.  Viser cut-off frekvens på 110 Hz</t>
  </si>
  <si>
    <t>Målepunkterne fra A til O viser strømmen i de 3 kredsløb</t>
  </si>
  <si>
    <t>ẞ =</t>
  </si>
  <si>
    <r>
      <t>Diagrammerne herunder er med de aktuelle værdier</t>
    </r>
    <r>
      <rPr>
        <b/>
        <sz val="12"/>
        <color rgb="FFFF0000"/>
        <rFont val="Calibri"/>
        <family val="2"/>
        <scheme val="minor"/>
      </rPr>
      <t xml:space="preserve"> i røde tal</t>
    </r>
  </si>
  <si>
    <r>
      <t xml:space="preserve">De </t>
    </r>
    <r>
      <rPr>
        <b/>
        <sz val="11"/>
        <color theme="1"/>
        <rFont val="Calibri"/>
        <family val="2"/>
        <scheme val="minor"/>
      </rPr>
      <t>tre</t>
    </r>
    <r>
      <rPr>
        <sz val="11"/>
        <color theme="1"/>
        <rFont val="Calibri"/>
        <family val="2"/>
        <scheme val="minor"/>
      </rPr>
      <t xml:space="preserve"> nedenfor stående formler er et udtryk for hvilestrømmen i transistoren uden signal og ingen belastning. Quiescent Point -</t>
    </r>
    <r>
      <rPr>
        <b/>
        <sz val="11"/>
        <color theme="1"/>
        <rFont val="Calibri"/>
        <family val="2"/>
        <scheme val="minor"/>
      </rPr>
      <t xml:space="preserve"> Q-point</t>
    </r>
  </si>
  <si>
    <t>ICQ = Collector hvilestrøm</t>
  </si>
  <si>
    <r>
      <rPr>
        <b/>
        <sz val="11"/>
        <rFont val="Calibri"/>
        <family val="2"/>
        <scheme val="minor"/>
      </rPr>
      <t>Gain</t>
    </r>
    <r>
      <rPr>
        <sz val="11"/>
        <rFont val="Calibri"/>
        <family val="2"/>
      </rPr>
      <t xml:space="preserve"> = Zud/ZE = (RC//(1/hoe)//RL)/ZE - I tæller har RC størst indflydelse, derefter RL, og *hoe sættes til 10 umhos. I nævner kan ZE antage 2 værdier uden / med kondensator C3</t>
    </r>
  </si>
  <si>
    <t>Udgangsimpedansen Zud bestemmes af Rc og 1/hoe i parallel (1/hoe er transistorens udgangsimpedans). Uafhængig af belastning og afkoblet emitter eller ej</t>
  </si>
  <si>
    <t>Find nærmeste standard værdier for C1, C2, C3 og C4. Vælg gerne højere værdier frem for lavere værdier</t>
  </si>
  <si>
    <r>
      <t>NB: *hoe er transistorens udgangs admittance (ledningsevne) og er i størrelses orden 5 umhos til 200 umhos. Eller omregnet til Ohm 200 k</t>
    </r>
    <r>
      <rPr>
        <sz val="11"/>
        <color theme="1"/>
        <rFont val="Calibri"/>
        <family val="2"/>
      </rPr>
      <t>Ω</t>
    </r>
    <r>
      <rPr>
        <sz val="11"/>
        <color theme="1"/>
        <rFont val="Calibri"/>
        <family val="2"/>
        <scheme val="minor"/>
      </rPr>
      <t xml:space="preserve"> til 5 k</t>
    </r>
    <r>
      <rPr>
        <sz val="11"/>
        <color theme="1"/>
        <rFont val="Calibri"/>
        <family val="2"/>
      </rPr>
      <t>Ω</t>
    </r>
    <r>
      <rPr>
        <sz val="11"/>
        <color theme="1"/>
        <rFont val="Calibri"/>
        <family val="2"/>
        <scheme val="minor"/>
      </rPr>
      <t xml:space="preserve"> . Får derfor minimal betydning i beregningen</t>
    </r>
  </si>
  <si>
    <t>ZE uden C3 = (RE1 +  rE)  for ikke afkoblet emitter</t>
  </si>
  <si>
    <t>T = Kelvin grader</t>
  </si>
  <si>
    <t>IE = Emitter strømmen</t>
  </si>
  <si>
    <t>[mA]</t>
  </si>
  <si>
    <t>[eV/K]</t>
  </si>
  <si>
    <t>°C</t>
  </si>
  <si>
    <t>[K]</t>
  </si>
  <si>
    <t>[°C]</t>
  </si>
  <si>
    <t>0 K =</t>
  </si>
  <si>
    <t xml:space="preserve">http://en.wikipedia.org/wiki/Boltzmann%27s_constant </t>
  </si>
  <si>
    <t>[mVolt]</t>
  </si>
  <si>
    <t>Kommer af at IE regnes positivt i NPN transistorer.</t>
  </si>
  <si>
    <t>NB: q regnes med fortegn. Her plus.</t>
  </si>
  <si>
    <t>Vt/IE =</t>
  </si>
  <si>
    <t>1,3806488*10^-23</t>
  </si>
  <si>
    <t>[J/K]</t>
  </si>
  <si>
    <t>1,602176565*10^-19</t>
  </si>
  <si>
    <t>q = positiv ladning =</t>
  </si>
  <si>
    <t>[Coulomb]</t>
  </si>
  <si>
    <t>rE = Vt/IE =</t>
  </si>
  <si>
    <t>k = Boltzmanns konstant =</t>
  </si>
  <si>
    <t>KB Boltzmanns eV konstant = k/q =</t>
  </si>
  <si>
    <t>rE emitterens indre modstand, som varierer med IE og Vt =</t>
  </si>
  <si>
    <t>Temperatur inden i transistoren =</t>
  </si>
  <si>
    <t>Vt = k *T / q =  (k/q) *T = KB*T =</t>
  </si>
  <si>
    <t>NB: q regnes med fortegn. Her minus.</t>
  </si>
  <si>
    <t>Kommer af at IE regnes negativ i PNP transistorer.</t>
  </si>
  <si>
    <t>q = negativ ladning =</t>
  </si>
  <si>
    <r>
      <t>Vt mellem 25 og 30 [ 20</t>
    </r>
    <r>
      <rPr>
        <sz val="10"/>
        <rFont val="Calibri"/>
        <family val="2"/>
      </rPr>
      <t>°C og 80°C]</t>
    </r>
  </si>
  <si>
    <t>Se også disse to web site for mere info om Q-Point</t>
  </si>
  <si>
    <t>Vt = thermal spænding over p-n overgangen i transistoren</t>
  </si>
  <si>
    <t>Herunder ses signaler: Input grøn Vpp 2mV - Vout gul Fig. 1 Vpp 8,77 mV - Vout lilla Fig. 3 Vpp 8,16</t>
  </si>
  <si>
    <t>Herunder ses signaler: Input grøn Vpp 2mV - Vout blå Fig. 2 Vpp 294 mV</t>
  </si>
  <si>
    <t>Herunder ses signaler: Input grøn Vpp 2mV - Vout gul Fig. 1 Vpp 8,75 mV - Vout lilla Fig. 3 Vpp 8,15</t>
  </si>
  <si>
    <t>Herunder ses signaler: Input grøn Vpp 2mV - Vout blå Fig. 2 Vpp 307 mV</t>
  </si>
  <si>
    <r>
      <t xml:space="preserve">*Ønskes en bestemt </t>
    </r>
    <r>
      <rPr>
        <sz val="11"/>
        <color theme="1"/>
        <rFont val="Calibri"/>
        <family val="2"/>
      </rPr>
      <t xml:space="preserve">ẞ værdi i </t>
    </r>
    <r>
      <rPr>
        <sz val="11"/>
        <color rgb="FF00B050"/>
        <rFont val="Calibri"/>
        <family val="2"/>
      </rPr>
      <t>grøn</t>
    </r>
    <r>
      <rPr>
        <sz val="11"/>
        <color theme="1"/>
        <rFont val="Calibri"/>
        <family val="2"/>
      </rPr>
      <t xml:space="preserve"> celle, indsættes denne værdi i Min og Max, som her:</t>
    </r>
  </si>
  <si>
    <t>Iflg. datablad:</t>
  </si>
  <si>
    <t>Disse makro knapper indsætter default værdier</t>
  </si>
  <si>
    <t>Av =</t>
  </si>
  <si>
    <r>
      <rPr>
        <b/>
        <sz val="11"/>
        <color theme="1"/>
        <rFont val="Calibri"/>
        <family val="2"/>
        <scheme val="minor"/>
      </rPr>
      <t xml:space="preserve">IE </t>
    </r>
    <r>
      <rPr>
        <sz val="11"/>
        <color theme="1"/>
        <rFont val="Calibri"/>
        <family val="2"/>
        <scheme val="minor"/>
      </rPr>
      <t>= ICQ+IB =</t>
    </r>
  </si>
  <si>
    <r>
      <t xml:space="preserve">De </t>
    </r>
    <r>
      <rPr>
        <b/>
        <sz val="11"/>
        <color theme="1"/>
        <rFont val="Calibri"/>
        <family val="2"/>
        <scheme val="minor"/>
      </rPr>
      <t>fire</t>
    </r>
    <r>
      <rPr>
        <sz val="11"/>
        <color theme="1"/>
        <rFont val="Calibri"/>
        <family val="2"/>
        <scheme val="minor"/>
      </rPr>
      <t xml:space="preserve"> nedenfor stående formler er et udtryk for hvilestrømmen i transistoren uden signal og ingen belastning. Quiescent Point -</t>
    </r>
    <r>
      <rPr>
        <b/>
        <sz val="11"/>
        <color theme="1"/>
        <rFont val="Calibri"/>
        <family val="2"/>
        <scheme val="minor"/>
      </rPr>
      <t xml:space="preserve"> Q-point</t>
    </r>
  </si>
  <si>
    <r>
      <rPr>
        <b/>
        <sz val="11"/>
        <rFont val="Calibri"/>
        <family val="2"/>
        <scheme val="minor"/>
      </rPr>
      <t>Gain</t>
    </r>
    <r>
      <rPr>
        <sz val="11"/>
        <rFont val="Calibri"/>
        <family val="2"/>
      </rPr>
      <t xml:space="preserve"> = Zud/ZE = (RC//(1/hoe)//RL)/ZE - I tæller har RC størst indflydelse, derefter RL, og *hoe sættes til 10 umhos. I nævner kan ZE antage 3 værdier uden / med kondensator C3 og split emitter</t>
    </r>
  </si>
  <si>
    <t>ZE for split emitter = (RE1 + rEE) =</t>
  </si>
  <si>
    <t>Vt/IEs =</t>
  </si>
  <si>
    <t>IEs = Split Emitter strøm</t>
  </si>
  <si>
    <t>Spænding over Collectormodstand</t>
  </si>
  <si>
    <t>Spænding over Collector Emitter</t>
  </si>
  <si>
    <t>ZE uden C3 = (RE1 +  rEE)  for ikke afkoblet emitter</t>
  </si>
  <si>
    <t>Gain (uden C3) = (Zud//RL)/ZE uden C3 =</t>
  </si>
  <si>
    <t>Gain (Split) = (Zud//RL)/ZE uden C3 =</t>
  </si>
  <si>
    <t>Diagram Fig. 1 Uden kondensator C3</t>
  </si>
  <si>
    <t>Diagram Fig. 2 Med kondensator C4</t>
  </si>
  <si>
    <t>Diagram Fig. 3 Split Emitter modstand. Lidt mindre end fig. 1, da rEE er større på grund af at IEs er mindre</t>
  </si>
  <si>
    <t>VBE 0,6 V til 0,9 V - VE 1 til 2 volt eller 10% af Vcc - RL vælges</t>
  </si>
  <si>
    <t>Silicium</t>
  </si>
  <si>
    <t>rE afhænger af Boltzmanns konstant og temperaturen i Kelvin. Se T.H. overfor -------------------------------------------------&gt;</t>
  </si>
  <si>
    <r>
      <rPr>
        <b/>
        <sz val="11"/>
        <color theme="1"/>
        <rFont val="Calibri"/>
        <family val="2"/>
        <scheme val="minor"/>
      </rPr>
      <t>IEs</t>
    </r>
    <r>
      <rPr>
        <sz val="11"/>
        <color theme="1"/>
        <rFont val="Calibri"/>
        <family val="2"/>
        <scheme val="minor"/>
      </rPr>
      <t xml:space="preserve"> split emitter = VE/(RE1+RE2) =</t>
    </r>
  </si>
  <si>
    <t>VBE -0,6 V til -0,9 V - VE -1 til -2 volt eller 10% af Vcc - RL vælges</t>
  </si>
  <si>
    <t>Vin =</t>
  </si>
  <si>
    <t>Vout =</t>
  </si>
  <si>
    <t>Vout/Vin</t>
  </si>
  <si>
    <t>Herunder diagram fig.1</t>
  </si>
  <si>
    <t>Herunder diagram fig.3</t>
  </si>
  <si>
    <t>Herunder diagram fig.2</t>
  </si>
  <si>
    <t xml:space="preserve">Fig. 1 Gul kurve nedre grænsefrekvens </t>
  </si>
  <si>
    <t>f3dB =</t>
  </si>
  <si>
    <t>Hz</t>
  </si>
  <si>
    <t xml:space="preserve">Fig. 3 Lillal kurve nedre grænsefrekvens </t>
  </si>
  <si>
    <t xml:space="preserve">Fig. 2 Blå kurve nedre grænsefrekvens </t>
  </si>
  <si>
    <t xml:space="preserve">Fig. 1 Gul kurve øvre grænsefrekvens </t>
  </si>
  <si>
    <t>MHz</t>
  </si>
  <si>
    <t xml:space="preserve">Fig. 3 Lilla kurve øvre grænsefrekvens </t>
  </si>
  <si>
    <t xml:space="preserve">Fig. 2 Blå kurve øvre grænsefrekvens </t>
  </si>
  <si>
    <t>Beregnet</t>
  </si>
  <si>
    <t>2N2907A</t>
  </si>
  <si>
    <t>100 til 300</t>
  </si>
  <si>
    <t>2N2222A</t>
  </si>
  <si>
    <t>50 til 375</t>
  </si>
  <si>
    <t>Default for 2N2222A i simulator program</t>
  </si>
  <si>
    <t>Default for BC547B i simulator program</t>
  </si>
  <si>
    <t>Default for BC557B i simulator program</t>
  </si>
  <si>
    <t>Default for 2N2907A i simulator program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</si>
</sst>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164" formatCode="0.0000"/>
    <numFmt numFmtId="165" formatCode="0.000"/>
    <numFmt numFmtId="166" formatCode="_(* #,##0.00_);_(* \(#,##0.00\);_(* &quot;-&quot;??_);_(@_)"/>
    <numFmt numFmtId="167" formatCode="_ * #,##0.000_ ;_ * \-#,##0.000_ ;_ * &quot;-&quot;???_ ;_ @_ "/>
    <numFmt numFmtId="168" formatCode="0.0"/>
    <numFmt numFmtId="169" formatCode="0.00000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name val="Calibri"/>
      <family val="2"/>
      <scheme val="minor"/>
    </font>
    <font>
      <b/>
      <sz val="11"/>
      <color theme="1"/>
      <name val="Calibri"/>
      <family val="2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1"/>
      <name val="Calibri"/>
      <family val="2"/>
    </font>
    <font>
      <sz val="11"/>
      <color rgb="FF252525"/>
      <name val="Calibri"/>
      <family val="2"/>
    </font>
    <font>
      <sz val="11"/>
      <color rgb="FFFF0000"/>
      <name val="Calibri"/>
      <family val="2"/>
      <scheme val="minor"/>
    </font>
    <font>
      <u/>
      <sz val="9.9"/>
      <color theme="10"/>
      <name val="Calibri"/>
      <family val="2"/>
    </font>
    <font>
      <u/>
      <sz val="11"/>
      <color theme="10"/>
      <name val="Calibri"/>
      <family val="2"/>
    </font>
    <font>
      <sz val="11"/>
      <color rgb="FFFF0000"/>
      <name val="Calibri"/>
      <family val="2"/>
    </font>
    <font>
      <sz val="12"/>
      <color rgb="FF333333"/>
      <name val="Arial"/>
      <family val="2"/>
    </font>
    <font>
      <sz val="12"/>
      <color theme="1"/>
      <name val="Calibri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sz val="14"/>
      <color rgb="FFFF0000"/>
      <name val="Calibri"/>
      <family val="2"/>
      <scheme val="minor"/>
    </font>
    <font>
      <sz val="12"/>
      <color indexed="8"/>
      <name val="Calibri"/>
      <family val="2"/>
    </font>
    <font>
      <b/>
      <sz val="11"/>
      <color indexed="57"/>
      <name val="Arial"/>
      <family val="2"/>
    </font>
    <font>
      <b/>
      <sz val="12"/>
      <color rgb="FF00B05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rgb="FF0070C0"/>
      <name val="Calibri"/>
      <family val="2"/>
      <scheme val="minor"/>
    </font>
    <font>
      <sz val="11"/>
      <color rgb="FF00B050"/>
      <name val="Calibri"/>
      <family val="2"/>
    </font>
    <font>
      <sz val="11"/>
      <color theme="0" tint="-4.9989318521683403E-2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FF0000"/>
      <name val="Calibri"/>
      <family val="2"/>
    </font>
    <font>
      <b/>
      <sz val="12"/>
      <color rgb="FFFF0000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</font>
    <font>
      <b/>
      <sz val="11"/>
      <name val="Calibri"/>
      <family val="2"/>
    </font>
    <font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9" fillId="0" borderId="0"/>
    <xf numFmtId="166" fontId="19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9" fontId="19" fillId="0" borderId="0" applyFont="0" applyFill="0" applyBorder="0" applyAlignment="0" applyProtection="0"/>
  </cellStyleXfs>
  <cellXfs count="254">
    <xf numFmtId="0" fontId="0" fillId="0" borderId="0" xfId="0"/>
    <xf numFmtId="0" fontId="0" fillId="3" borderId="17" xfId="0" applyFill="1" applyBorder="1" applyProtection="1"/>
    <xf numFmtId="0" fontId="0" fillId="3" borderId="14" xfId="0" applyFill="1" applyBorder="1" applyProtection="1"/>
    <xf numFmtId="0" fontId="15" fillId="3" borderId="14" xfId="2" applyFont="1" applyFill="1" applyBorder="1" applyAlignment="1" applyProtection="1"/>
    <xf numFmtId="0" fontId="0" fillId="0" borderId="0" xfId="0" applyProtection="1"/>
    <xf numFmtId="0" fontId="0" fillId="3" borderId="16" xfId="0" applyFill="1" applyBorder="1" applyProtection="1"/>
    <xf numFmtId="0" fontId="0" fillId="3" borderId="0" xfId="0" applyFill="1" applyBorder="1" applyProtection="1"/>
    <xf numFmtId="0" fontId="0" fillId="3" borderId="19" xfId="0" applyFill="1" applyBorder="1" applyProtection="1"/>
    <xf numFmtId="0" fontId="0" fillId="3" borderId="0" xfId="0" applyFill="1" applyProtection="1"/>
    <xf numFmtId="0" fontId="10" fillId="3" borderId="0" xfId="0" applyFont="1" applyFill="1" applyBorder="1" applyAlignment="1" applyProtection="1"/>
    <xf numFmtId="2" fontId="13" fillId="3" borderId="0" xfId="0" applyNumberFormat="1" applyFont="1" applyFill="1" applyBorder="1" applyAlignment="1" applyProtection="1">
      <alignment horizontal="center"/>
    </xf>
    <xf numFmtId="0" fontId="0" fillId="3" borderId="0" xfId="0" applyFill="1" applyBorder="1" applyAlignment="1" applyProtection="1"/>
    <xf numFmtId="0" fontId="5" fillId="3" borderId="0" xfId="0" applyFont="1" applyFill="1" applyBorder="1" applyAlignment="1" applyProtection="1">
      <alignment horizontal="center"/>
    </xf>
    <xf numFmtId="0" fontId="2" fillId="3" borderId="0" xfId="0" applyFont="1" applyFill="1" applyBorder="1" applyAlignment="1" applyProtection="1">
      <alignment horizontal="center"/>
    </xf>
    <xf numFmtId="0" fontId="13" fillId="3" borderId="0" xfId="0" applyFont="1" applyFill="1" applyBorder="1" applyAlignment="1" applyProtection="1">
      <alignment horizontal="left"/>
    </xf>
    <xf numFmtId="165" fontId="2" fillId="3" borderId="0" xfId="0" applyNumberFormat="1" applyFont="1" applyFill="1" applyBorder="1" applyAlignment="1" applyProtection="1">
      <alignment horizontal="center"/>
    </xf>
    <xf numFmtId="2" fontId="0" fillId="3" borderId="0" xfId="0" applyNumberFormat="1" applyFill="1" applyBorder="1" applyAlignment="1" applyProtection="1">
      <alignment horizontal="right"/>
    </xf>
    <xf numFmtId="1" fontId="0" fillId="3" borderId="0" xfId="1" applyNumberFormat="1" applyFont="1" applyFill="1" applyBorder="1" applyAlignment="1" applyProtection="1">
      <alignment horizontal="center"/>
    </xf>
    <xf numFmtId="0" fontId="0" fillId="3" borderId="0" xfId="0" applyFill="1" applyBorder="1" applyAlignment="1" applyProtection="1">
      <alignment vertical="center"/>
    </xf>
    <xf numFmtId="0" fontId="2" fillId="3" borderId="0" xfId="0" applyFont="1" applyFill="1" applyBorder="1" applyAlignment="1" applyProtection="1">
      <alignment horizontal="left"/>
    </xf>
    <xf numFmtId="1" fontId="13" fillId="3" borderId="0" xfId="0" applyNumberFormat="1" applyFont="1" applyFill="1" applyBorder="1" applyAlignment="1" applyProtection="1">
      <alignment horizontal="center"/>
    </xf>
    <xf numFmtId="2" fontId="0" fillId="3" borderId="0" xfId="0" applyNumberFormat="1" applyFill="1" applyBorder="1" applyProtection="1"/>
    <xf numFmtId="0" fontId="0" fillId="3" borderId="0" xfId="0" applyFill="1" applyBorder="1" applyAlignment="1" applyProtection="1">
      <alignment horizontal="right"/>
    </xf>
    <xf numFmtId="1" fontId="0" fillId="3" borderId="0" xfId="0" applyNumberFormat="1" applyFill="1" applyBorder="1" applyAlignment="1" applyProtection="1">
      <alignment horizontal="center"/>
    </xf>
    <xf numFmtId="0" fontId="16" fillId="3" borderId="0" xfId="0" applyFont="1" applyFill="1" applyBorder="1" applyAlignment="1" applyProtection="1">
      <alignment horizontal="left"/>
    </xf>
    <xf numFmtId="0" fontId="6" fillId="3" borderId="0" xfId="0" applyFont="1" applyFill="1" applyBorder="1" applyAlignment="1" applyProtection="1">
      <alignment horizontal="center"/>
    </xf>
    <xf numFmtId="0" fontId="7" fillId="3" borderId="0" xfId="0" applyNumberFormat="1" applyFont="1" applyFill="1" applyBorder="1" applyAlignment="1" applyProtection="1">
      <alignment horizontal="left"/>
    </xf>
    <xf numFmtId="0" fontId="11" fillId="3" borderId="0" xfId="0" applyNumberFormat="1" applyFont="1" applyFill="1" applyBorder="1" applyAlignment="1" applyProtection="1">
      <alignment horizontal="left"/>
    </xf>
    <xf numFmtId="0" fontId="5" fillId="3" borderId="0" xfId="0" applyNumberFormat="1" applyFont="1" applyFill="1" applyBorder="1" applyAlignment="1" applyProtection="1">
      <alignment horizontal="left"/>
    </xf>
    <xf numFmtId="0" fontId="4" fillId="3" borderId="0" xfId="0" applyFont="1" applyFill="1" applyBorder="1" applyAlignment="1" applyProtection="1">
      <alignment horizontal="left"/>
    </xf>
    <xf numFmtId="1" fontId="2" fillId="3" borderId="0" xfId="0" applyNumberFormat="1" applyFont="1" applyFill="1" applyBorder="1" applyAlignment="1" applyProtection="1">
      <alignment horizontal="center"/>
    </xf>
    <xf numFmtId="0" fontId="8" fillId="3" borderId="10" xfId="0" applyFont="1" applyFill="1" applyBorder="1" applyAlignment="1" applyProtection="1">
      <alignment horizontal="center"/>
    </xf>
    <xf numFmtId="0" fontId="9" fillId="3" borderId="0" xfId="0" applyFont="1" applyFill="1" applyBorder="1" applyProtection="1"/>
    <xf numFmtId="0" fontId="11" fillId="3" borderId="0" xfId="0" applyFont="1" applyFill="1" applyBorder="1" applyProtection="1"/>
    <xf numFmtId="0" fontId="7" fillId="3" borderId="0" xfId="0" applyFont="1" applyFill="1" applyBorder="1" applyProtection="1"/>
    <xf numFmtId="0" fontId="11" fillId="3" borderId="0" xfId="0" applyFont="1" applyFill="1" applyBorder="1" applyAlignment="1" applyProtection="1">
      <alignment horizontal="center"/>
    </xf>
    <xf numFmtId="2" fontId="0" fillId="3" borderId="0" xfId="0" applyNumberFormat="1" applyFill="1" applyBorder="1" applyAlignment="1" applyProtection="1">
      <alignment horizontal="center"/>
    </xf>
    <xf numFmtId="164" fontId="2" fillId="3" borderId="0" xfId="0" applyNumberFormat="1" applyFont="1" applyFill="1" applyBorder="1" applyAlignment="1" applyProtection="1">
      <alignment horizontal="center"/>
    </xf>
    <xf numFmtId="0" fontId="12" fillId="3" borderId="0" xfId="0" applyFont="1" applyFill="1" applyBorder="1" applyProtection="1"/>
    <xf numFmtId="0" fontId="4" fillId="3" borderId="0" xfId="0" applyFont="1" applyFill="1" applyBorder="1" applyProtection="1"/>
    <xf numFmtId="1" fontId="0" fillId="3" borderId="0" xfId="0" applyNumberFormat="1" applyFill="1" applyBorder="1" applyProtection="1"/>
    <xf numFmtId="43" fontId="0" fillId="3" borderId="0" xfId="0" applyNumberFormat="1" applyFill="1" applyBorder="1" applyAlignment="1" applyProtection="1">
      <alignment horizontal="center"/>
    </xf>
    <xf numFmtId="0" fontId="17" fillId="3" borderId="0" xfId="0" applyFont="1" applyFill="1" applyBorder="1" applyAlignment="1" applyProtection="1"/>
    <xf numFmtId="0" fontId="18" fillId="3" borderId="0" xfId="0" applyFont="1" applyFill="1" applyBorder="1" applyAlignment="1" applyProtection="1"/>
    <xf numFmtId="0" fontId="0" fillId="3" borderId="20" xfId="0" applyFill="1" applyBorder="1" applyProtection="1"/>
    <xf numFmtId="0" fontId="0" fillId="3" borderId="15" xfId="0" applyFill="1" applyBorder="1" applyProtection="1"/>
    <xf numFmtId="0" fontId="0" fillId="3" borderId="6" xfId="0" applyFill="1" applyBorder="1" applyAlignment="1" applyProtection="1">
      <alignment horizontal="center"/>
    </xf>
    <xf numFmtId="0" fontId="0" fillId="3" borderId="2" xfId="0" applyFill="1" applyBorder="1" applyAlignment="1" applyProtection="1">
      <alignment horizontal="center"/>
    </xf>
    <xf numFmtId="0" fontId="0" fillId="2" borderId="7" xfId="0" applyFill="1" applyBorder="1" applyAlignment="1" applyProtection="1">
      <alignment horizontal="center"/>
      <protection locked="0"/>
    </xf>
    <xf numFmtId="0" fontId="0" fillId="2" borderId="8" xfId="0" applyFill="1" applyBorder="1" applyAlignment="1" applyProtection="1">
      <alignment horizontal="center"/>
      <protection locked="0"/>
    </xf>
    <xf numFmtId="0" fontId="0" fillId="2" borderId="9" xfId="0" applyFill="1" applyBorder="1" applyAlignment="1" applyProtection="1">
      <alignment horizontal="center"/>
      <protection locked="0"/>
    </xf>
    <xf numFmtId="0" fontId="2" fillId="2" borderId="12" xfId="0" applyFont="1" applyFill="1" applyBorder="1" applyAlignment="1" applyProtection="1">
      <alignment horizontal="center"/>
      <protection locked="0"/>
    </xf>
    <xf numFmtId="0" fontId="2" fillId="2" borderId="11" xfId="0" applyFont="1" applyFill="1" applyBorder="1" applyAlignment="1" applyProtection="1">
      <alignment horizontal="center"/>
      <protection locked="0"/>
    </xf>
    <xf numFmtId="2" fontId="0" fillId="3" borderId="0" xfId="0" applyNumberFormat="1" applyFill="1" applyBorder="1" applyAlignment="1" applyProtection="1">
      <alignment horizontal="left"/>
    </xf>
    <xf numFmtId="0" fontId="10" fillId="3" borderId="0" xfId="0" applyFont="1" applyFill="1" applyBorder="1" applyAlignment="1" applyProtection="1">
      <alignment horizontal="left"/>
    </xf>
    <xf numFmtId="165" fontId="0" fillId="3" borderId="0" xfId="0" applyNumberFormat="1" applyFill="1" applyBorder="1" applyProtection="1"/>
    <xf numFmtId="0" fontId="7" fillId="3" borderId="0" xfId="0" applyFont="1" applyFill="1" applyBorder="1" applyAlignment="1" applyProtection="1">
      <alignment horizontal="center"/>
    </xf>
    <xf numFmtId="1" fontId="2" fillId="3" borderId="0" xfId="0" applyNumberFormat="1" applyFont="1" applyFill="1" applyBorder="1" applyAlignment="1" applyProtection="1">
      <alignment horizontal="right"/>
    </xf>
    <xf numFmtId="2" fontId="2" fillId="3" borderId="0" xfId="0" applyNumberFormat="1" applyFont="1" applyFill="1" applyBorder="1" applyAlignment="1" applyProtection="1">
      <alignment horizontal="right"/>
    </xf>
    <xf numFmtId="165" fontId="0" fillId="3" borderId="0" xfId="0" applyNumberFormat="1" applyFont="1" applyFill="1" applyBorder="1" applyAlignment="1" applyProtection="1">
      <alignment horizontal="center"/>
    </xf>
    <xf numFmtId="1" fontId="13" fillId="3" borderId="0" xfId="0" applyNumberFormat="1" applyFont="1" applyFill="1" applyBorder="1" applyAlignment="1" applyProtection="1">
      <alignment horizontal="right"/>
    </xf>
    <xf numFmtId="2" fontId="13" fillId="3" borderId="0" xfId="0" applyNumberFormat="1" applyFont="1" applyFill="1" applyBorder="1" applyAlignment="1" applyProtection="1">
      <alignment horizontal="right"/>
    </xf>
    <xf numFmtId="1" fontId="6" fillId="3" borderId="0" xfId="0" applyNumberFormat="1" applyFont="1" applyFill="1" applyBorder="1" applyAlignment="1" applyProtection="1"/>
    <xf numFmtId="1" fontId="2" fillId="3" borderId="0" xfId="0" applyNumberFormat="1" applyFont="1" applyFill="1" applyBorder="1" applyAlignment="1" applyProtection="1"/>
    <xf numFmtId="2" fontId="2" fillId="3" borderId="0" xfId="0" applyNumberFormat="1" applyFont="1" applyFill="1" applyBorder="1" applyAlignment="1" applyProtection="1"/>
    <xf numFmtId="0" fontId="6" fillId="3" borderId="0" xfId="0" applyFont="1" applyFill="1" applyBorder="1" applyAlignment="1" applyProtection="1">
      <alignment horizontal="left"/>
    </xf>
    <xf numFmtId="165" fontId="2" fillId="3" borderId="0" xfId="0" applyNumberFormat="1" applyFont="1" applyFill="1" applyBorder="1" applyAlignment="1" applyProtection="1"/>
    <xf numFmtId="0" fontId="16" fillId="3" borderId="0" xfId="0" applyFont="1" applyFill="1" applyBorder="1" applyAlignment="1" applyProtection="1"/>
    <xf numFmtId="0" fontId="13" fillId="3" borderId="0" xfId="0" applyFont="1" applyFill="1" applyBorder="1" applyAlignment="1" applyProtection="1"/>
    <xf numFmtId="164" fontId="2" fillId="3" borderId="0" xfId="0" applyNumberFormat="1" applyFont="1" applyFill="1" applyBorder="1" applyAlignment="1" applyProtection="1">
      <alignment horizontal="right"/>
    </xf>
    <xf numFmtId="0" fontId="0" fillId="3" borderId="0" xfId="0" applyFont="1" applyFill="1" applyBorder="1" applyAlignment="1" applyProtection="1">
      <alignment horizontal="right"/>
    </xf>
    <xf numFmtId="0" fontId="24" fillId="3" borderId="0" xfId="0" applyFont="1" applyFill="1" applyBorder="1" applyAlignment="1" applyProtection="1"/>
    <xf numFmtId="0" fontId="0" fillId="0" borderId="0" xfId="0" applyBorder="1" applyProtection="1"/>
    <xf numFmtId="0" fontId="26" fillId="3" borderId="18" xfId="0" applyFont="1" applyFill="1" applyBorder="1" applyAlignment="1" applyProtection="1"/>
    <xf numFmtId="0" fontId="8" fillId="3" borderId="19" xfId="0" applyFont="1" applyFill="1" applyBorder="1" applyAlignment="1" applyProtection="1"/>
    <xf numFmtId="0" fontId="0" fillId="3" borderId="19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left"/>
    </xf>
    <xf numFmtId="0" fontId="0" fillId="3" borderId="0" xfId="0" applyFill="1" applyBorder="1" applyAlignment="1" applyProtection="1">
      <alignment vertical="center" wrapText="1"/>
    </xf>
    <xf numFmtId="0" fontId="0" fillId="4" borderId="8" xfId="0" applyFill="1" applyBorder="1" applyAlignment="1" applyProtection="1">
      <alignment horizontal="center"/>
    </xf>
    <xf numFmtId="0" fontId="8" fillId="3" borderId="0" xfId="0" applyFont="1" applyFill="1" applyBorder="1" applyAlignment="1" applyProtection="1"/>
    <xf numFmtId="0" fontId="8" fillId="3" borderId="0" xfId="0" applyFont="1" applyFill="1" applyBorder="1" applyProtection="1"/>
    <xf numFmtId="0" fontId="0" fillId="0" borderId="0" xfId="0" applyFill="1" applyProtection="1"/>
    <xf numFmtId="2" fontId="7" fillId="3" borderId="0" xfId="0" applyNumberFormat="1" applyFont="1" applyFill="1" applyBorder="1" applyAlignment="1" applyProtection="1">
      <alignment horizontal="center"/>
    </xf>
    <xf numFmtId="1" fontId="7" fillId="3" borderId="0" xfId="0" applyNumberFormat="1" applyFont="1" applyFill="1" applyBorder="1" applyAlignment="1" applyProtection="1">
      <alignment horizontal="center"/>
    </xf>
    <xf numFmtId="0" fontId="0" fillId="3" borderId="16" xfId="0" applyFill="1" applyBorder="1" applyAlignment="1" applyProtection="1"/>
    <xf numFmtId="0" fontId="0" fillId="3" borderId="18" xfId="0" applyFill="1" applyBorder="1" applyProtection="1"/>
    <xf numFmtId="0" fontId="0" fillId="3" borderId="21" xfId="0" applyFill="1" applyBorder="1" applyProtection="1"/>
    <xf numFmtId="0" fontId="18" fillId="3" borderId="16" xfId="0" applyFont="1" applyFill="1" applyBorder="1" applyProtection="1"/>
    <xf numFmtId="1" fontId="18" fillId="3" borderId="0" xfId="0" applyNumberFormat="1" applyFont="1" applyFill="1" applyBorder="1" applyProtection="1"/>
    <xf numFmtId="0" fontId="18" fillId="3" borderId="0" xfId="0" applyFont="1" applyFill="1" applyBorder="1" applyProtection="1"/>
    <xf numFmtId="2" fontId="18" fillId="3" borderId="0" xfId="0" applyNumberFormat="1" applyFont="1" applyFill="1" applyBorder="1" applyProtection="1"/>
    <xf numFmtId="0" fontId="30" fillId="3" borderId="15" xfId="0" applyFont="1" applyFill="1" applyBorder="1" applyProtection="1"/>
    <xf numFmtId="0" fontId="18" fillId="3" borderId="0" xfId="0" applyFont="1" applyFill="1" applyBorder="1" applyAlignment="1" applyProtection="1">
      <alignment horizontal="right"/>
    </xf>
    <xf numFmtId="0" fontId="18" fillId="3" borderId="0" xfId="0" applyFont="1" applyFill="1" applyBorder="1" applyAlignment="1" applyProtection="1">
      <alignment horizontal="left"/>
    </xf>
    <xf numFmtId="0" fontId="27" fillId="3" borderId="0" xfId="0" applyFont="1" applyFill="1" applyBorder="1" applyProtection="1"/>
    <xf numFmtId="165" fontId="28" fillId="3" borderId="0" xfId="0" applyNumberFormat="1" applyFont="1" applyFill="1" applyBorder="1" applyProtection="1"/>
    <xf numFmtId="2" fontId="27" fillId="3" borderId="0" xfId="0" applyNumberFormat="1" applyFont="1" applyFill="1" applyBorder="1" applyAlignment="1" applyProtection="1">
      <alignment horizontal="center"/>
    </xf>
    <xf numFmtId="2" fontId="28" fillId="3" borderId="19" xfId="0" applyNumberFormat="1" applyFont="1" applyFill="1" applyBorder="1" applyAlignment="1" applyProtection="1">
      <alignment horizontal="center"/>
    </xf>
    <xf numFmtId="1" fontId="27" fillId="3" borderId="0" xfId="0" applyNumberFormat="1" applyFont="1" applyFill="1" applyBorder="1" applyAlignment="1" applyProtection="1">
      <alignment horizontal="center"/>
    </xf>
    <xf numFmtId="1" fontId="28" fillId="3" borderId="19" xfId="0" applyNumberFormat="1" applyFont="1" applyFill="1" applyBorder="1" applyAlignment="1" applyProtection="1">
      <alignment horizontal="center"/>
    </xf>
    <xf numFmtId="2" fontId="28" fillId="3" borderId="0" xfId="0" applyNumberFormat="1" applyFont="1" applyFill="1" applyBorder="1" applyAlignment="1" applyProtection="1">
      <alignment horizontal="center"/>
    </xf>
    <xf numFmtId="0" fontId="0" fillId="3" borderId="0" xfId="0" applyNumberFormat="1" applyFill="1" applyBorder="1" applyProtection="1"/>
    <xf numFmtId="2" fontId="5" fillId="3" borderId="0" xfId="0" applyNumberFormat="1" applyFont="1" applyFill="1" applyBorder="1" applyAlignment="1" applyProtection="1">
      <alignment horizontal="right"/>
    </xf>
    <xf numFmtId="0" fontId="5" fillId="3" borderId="0" xfId="0" applyFont="1" applyFill="1" applyBorder="1" applyAlignment="1" applyProtection="1">
      <alignment horizontal="left"/>
    </xf>
    <xf numFmtId="2" fontId="5" fillId="3" borderId="0" xfId="0" applyNumberFormat="1" applyFont="1" applyFill="1" applyBorder="1" applyAlignment="1" applyProtection="1"/>
    <xf numFmtId="165" fontId="2" fillId="3" borderId="0" xfId="0" applyNumberFormat="1" applyFont="1" applyFill="1" applyBorder="1" applyAlignment="1" applyProtection="1">
      <alignment horizontal="right"/>
    </xf>
    <xf numFmtId="0" fontId="2" fillId="3" borderId="0" xfId="0" applyFont="1" applyFill="1" applyBorder="1" applyAlignment="1" applyProtection="1">
      <alignment horizontal="right"/>
    </xf>
    <xf numFmtId="0" fontId="2" fillId="3" borderId="0" xfId="0" applyFont="1" applyFill="1" applyBorder="1" applyAlignment="1" applyProtection="1"/>
    <xf numFmtId="2" fontId="0" fillId="3" borderId="0" xfId="0" applyNumberFormat="1" applyFill="1" applyBorder="1" applyAlignment="1" applyProtection="1">
      <alignment vertical="center" wrapText="1"/>
    </xf>
    <xf numFmtId="2" fontId="0" fillId="3" borderId="0" xfId="0" applyNumberFormat="1" applyFont="1" applyFill="1" applyBorder="1" applyAlignment="1" applyProtection="1">
      <alignment vertical="center" wrapText="1"/>
    </xf>
    <xf numFmtId="0" fontId="8" fillId="3" borderId="14" xfId="0" applyFont="1" applyFill="1" applyBorder="1" applyAlignment="1" applyProtection="1"/>
    <xf numFmtId="168" fontId="0" fillId="3" borderId="16" xfId="0" applyNumberFormat="1" applyFill="1" applyBorder="1" applyProtection="1"/>
    <xf numFmtId="0" fontId="0" fillId="3" borderId="17" xfId="0" applyFill="1" applyBorder="1"/>
    <xf numFmtId="0" fontId="0" fillId="3" borderId="16" xfId="0" applyFill="1" applyBorder="1"/>
    <xf numFmtId="0" fontId="0" fillId="3" borderId="0" xfId="0" applyFill="1" applyBorder="1"/>
    <xf numFmtId="0" fontId="0" fillId="3" borderId="19" xfId="0" applyFill="1" applyBorder="1"/>
    <xf numFmtId="0" fontId="0" fillId="3" borderId="20" xfId="0" applyFill="1" applyBorder="1"/>
    <xf numFmtId="0" fontId="0" fillId="3" borderId="15" xfId="0" applyFill="1" applyBorder="1"/>
    <xf numFmtId="0" fontId="0" fillId="3" borderId="21" xfId="0" applyFill="1" applyBorder="1"/>
    <xf numFmtId="0" fontId="0" fillId="2" borderId="24" xfId="0" applyFill="1" applyBorder="1" applyAlignment="1" applyProtection="1">
      <alignment horizontal="center"/>
      <protection locked="0"/>
    </xf>
    <xf numFmtId="0" fontId="32" fillId="3" borderId="0" xfId="0" applyFont="1" applyFill="1" applyBorder="1" applyAlignment="1" applyProtection="1"/>
    <xf numFmtId="0" fontId="33" fillId="3" borderId="0" xfId="0" applyFont="1" applyFill="1" applyBorder="1" applyAlignment="1" applyProtection="1">
      <alignment horizontal="right"/>
    </xf>
    <xf numFmtId="0" fontId="0" fillId="0" borderId="0" xfId="0" applyFill="1" applyBorder="1" applyProtection="1"/>
    <xf numFmtId="0" fontId="4" fillId="3" borderId="0" xfId="0" applyFont="1" applyFill="1" applyProtection="1"/>
    <xf numFmtId="2" fontId="0" fillId="2" borderId="23" xfId="0" applyNumberFormat="1" applyFill="1" applyBorder="1" applyAlignment="1" applyProtection="1">
      <alignment horizontal="center"/>
      <protection locked="0"/>
    </xf>
    <xf numFmtId="2" fontId="2" fillId="3" borderId="0" xfId="0" applyNumberFormat="1" applyFont="1" applyFill="1" applyBorder="1" applyProtection="1"/>
    <xf numFmtId="0" fontId="6" fillId="3" borderId="0" xfId="0" applyFont="1" applyFill="1" applyBorder="1" applyProtection="1"/>
    <xf numFmtId="0" fontId="14" fillId="3" borderId="0" xfId="2" applyFill="1" applyBorder="1" applyAlignment="1" applyProtection="1"/>
    <xf numFmtId="2" fontId="2" fillId="4" borderId="0" xfId="0" applyNumberFormat="1" applyFont="1" applyFill="1" applyProtection="1"/>
    <xf numFmtId="0" fontId="35" fillId="3" borderId="0" xfId="0" applyFont="1" applyFill="1" applyBorder="1" applyAlignment="1" applyProtection="1">
      <alignment horizontal="left"/>
    </xf>
    <xf numFmtId="2" fontId="2" fillId="4" borderId="0" xfId="0" applyNumberFormat="1" applyFont="1" applyFill="1" applyBorder="1" applyAlignment="1" applyProtection="1">
      <alignment horizontal="center"/>
    </xf>
    <xf numFmtId="0" fontId="8" fillId="0" borderId="0" xfId="0" applyFont="1" applyAlignment="1"/>
    <xf numFmtId="0" fontId="8" fillId="3" borderId="18" xfId="0" applyFont="1" applyFill="1" applyBorder="1" applyAlignment="1"/>
    <xf numFmtId="0" fontId="24" fillId="3" borderId="19" xfId="0" applyFont="1" applyFill="1" applyBorder="1" applyAlignment="1" applyProtection="1"/>
    <xf numFmtId="0" fontId="32" fillId="3" borderId="0" xfId="0" applyFont="1" applyFill="1" applyBorder="1" applyProtection="1"/>
    <xf numFmtId="2" fontId="32" fillId="3" borderId="0" xfId="0" applyNumberFormat="1" applyFont="1" applyFill="1" applyBorder="1" applyProtection="1"/>
    <xf numFmtId="1" fontId="0" fillId="2" borderId="23" xfId="0" applyNumberFormat="1" applyFill="1" applyBorder="1" applyAlignment="1" applyProtection="1">
      <alignment horizontal="center"/>
      <protection locked="0"/>
    </xf>
    <xf numFmtId="0" fontId="0" fillId="3" borderId="0" xfId="0" applyFill="1" applyBorder="1" applyAlignment="1" applyProtection="1">
      <alignment horizontal="left"/>
    </xf>
    <xf numFmtId="0" fontId="0" fillId="3" borderId="10" xfId="0" applyFill="1" applyBorder="1" applyAlignment="1" applyProtection="1">
      <alignment horizontal="center"/>
    </xf>
    <xf numFmtId="0" fontId="18" fillId="3" borderId="0" xfId="0" applyFont="1" applyFill="1" applyBorder="1" applyAlignment="1" applyProtection="1">
      <alignment horizontal="center"/>
    </xf>
    <xf numFmtId="0" fontId="8" fillId="3" borderId="0" xfId="0" applyFont="1" applyFill="1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0" fillId="3" borderId="5" xfId="0" applyFill="1" applyBorder="1" applyAlignment="1" applyProtection="1">
      <alignment horizontal="center"/>
    </xf>
    <xf numFmtId="0" fontId="0" fillId="3" borderId="1" xfId="0" applyFill="1" applyBorder="1" applyAlignment="1" applyProtection="1">
      <alignment horizontal="center"/>
    </xf>
    <xf numFmtId="0" fontId="0" fillId="3" borderId="3" xfId="0" applyFill="1" applyBorder="1" applyAlignment="1" applyProtection="1">
      <alignment horizontal="center"/>
    </xf>
    <xf numFmtId="0" fontId="0" fillId="3" borderId="4" xfId="0" applyFill="1" applyBorder="1" applyAlignment="1" applyProtection="1">
      <alignment horizontal="center"/>
    </xf>
    <xf numFmtId="0" fontId="13" fillId="3" borderId="0" xfId="0" applyFont="1" applyFill="1" applyBorder="1" applyAlignment="1" applyProtection="1">
      <alignment horizontal="center"/>
    </xf>
    <xf numFmtId="169" fontId="7" fillId="3" borderId="0" xfId="0" applyNumberFormat="1" applyFont="1" applyFill="1" applyBorder="1" applyAlignment="1" applyProtection="1">
      <alignment horizontal="center"/>
    </xf>
    <xf numFmtId="0" fontId="0" fillId="3" borderId="0" xfId="0" applyFill="1" applyBorder="1" applyAlignment="1" applyProtection="1">
      <alignment horizontal="left"/>
    </xf>
    <xf numFmtId="0" fontId="13" fillId="3" borderId="0" xfId="0" applyFont="1" applyFill="1" applyBorder="1" applyAlignment="1" applyProtection="1">
      <alignment horizontal="center"/>
    </xf>
    <xf numFmtId="0" fontId="8" fillId="3" borderId="0" xfId="0" applyFont="1" applyFill="1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18" fillId="3" borderId="0" xfId="0" applyFont="1" applyFill="1" applyBorder="1" applyAlignment="1" applyProtection="1">
      <alignment horizontal="center"/>
    </xf>
    <xf numFmtId="0" fontId="0" fillId="3" borderId="10" xfId="0" applyFill="1" applyBorder="1" applyAlignment="1" applyProtection="1">
      <alignment horizontal="center"/>
    </xf>
    <xf numFmtId="0" fontId="0" fillId="3" borderId="5" xfId="0" applyFill="1" applyBorder="1" applyAlignment="1" applyProtection="1">
      <alignment horizontal="center"/>
    </xf>
    <xf numFmtId="0" fontId="0" fillId="3" borderId="1" xfId="0" applyFill="1" applyBorder="1" applyAlignment="1" applyProtection="1">
      <alignment horizontal="center"/>
    </xf>
    <xf numFmtId="0" fontId="0" fillId="3" borderId="3" xfId="0" applyFill="1" applyBorder="1" applyAlignment="1" applyProtection="1">
      <alignment horizontal="center"/>
    </xf>
    <xf numFmtId="0" fontId="0" fillId="3" borderId="4" xfId="0" applyFill="1" applyBorder="1" applyAlignment="1" applyProtection="1">
      <alignment horizontal="center"/>
    </xf>
    <xf numFmtId="165" fontId="7" fillId="3" borderId="0" xfId="0" applyNumberFormat="1" applyFont="1" applyFill="1" applyProtection="1"/>
    <xf numFmtId="0" fontId="7" fillId="3" borderId="0" xfId="0" applyFont="1" applyFill="1" applyProtection="1"/>
    <xf numFmtId="2" fontId="7" fillId="3" borderId="0" xfId="0" applyNumberFormat="1" applyFont="1" applyFill="1" applyProtection="1"/>
    <xf numFmtId="0" fontId="37" fillId="3" borderId="0" xfId="0" applyFont="1" applyFill="1" applyBorder="1" applyProtection="1"/>
    <xf numFmtId="165" fontId="0" fillId="3" borderId="0" xfId="0" applyNumberFormat="1" applyFont="1" applyFill="1" applyBorder="1" applyAlignment="1" applyProtection="1">
      <alignment horizontal="left"/>
    </xf>
    <xf numFmtId="2" fontId="2" fillId="3" borderId="0" xfId="0" applyNumberFormat="1" applyFont="1" applyFill="1" applyBorder="1" applyAlignment="1" applyProtection="1">
      <alignment horizontal="center"/>
    </xf>
    <xf numFmtId="2" fontId="7" fillId="3" borderId="0" xfId="0" applyNumberFormat="1" applyFont="1" applyFill="1" applyBorder="1" applyAlignment="1" applyProtection="1">
      <alignment horizontal="left"/>
    </xf>
    <xf numFmtId="0" fontId="4" fillId="3" borderId="0" xfId="0" applyFont="1" applyFill="1" applyBorder="1" applyAlignment="1" applyProtection="1"/>
    <xf numFmtId="0" fontId="0" fillId="4" borderId="0" xfId="0" applyFill="1" applyBorder="1" applyAlignment="1" applyProtection="1">
      <alignment horizontal="center"/>
      <protection locked="0"/>
    </xf>
    <xf numFmtId="0" fontId="24" fillId="3" borderId="0" xfId="0" applyFont="1" applyFill="1" applyBorder="1" applyAlignment="1" applyProtection="1">
      <alignment horizontal="center"/>
    </xf>
    <xf numFmtId="0" fontId="13" fillId="3" borderId="0" xfId="0" applyFont="1" applyFill="1" applyBorder="1" applyAlignment="1" applyProtection="1">
      <alignment horizontal="center"/>
    </xf>
    <xf numFmtId="0" fontId="32" fillId="3" borderId="0" xfId="0" applyNumberFormat="1" applyFont="1" applyFill="1" applyBorder="1" applyAlignment="1" applyProtection="1">
      <alignment horizontal="center"/>
    </xf>
    <xf numFmtId="0" fontId="32" fillId="3" borderId="0" xfId="0" applyFont="1" applyFill="1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0" fontId="11" fillId="3" borderId="0" xfId="0" applyFont="1" applyFill="1" applyBorder="1" applyAlignment="1" applyProtection="1">
      <alignment horizontal="left"/>
    </xf>
    <xf numFmtId="0" fontId="0" fillId="3" borderId="0" xfId="0" applyFill="1"/>
    <xf numFmtId="168" fontId="18" fillId="3" borderId="0" xfId="0" applyNumberFormat="1" applyFont="1" applyFill="1" applyBorder="1" applyProtection="1"/>
    <xf numFmtId="0" fontId="0" fillId="0" borderId="0" xfId="0" applyAlignment="1" applyProtection="1">
      <alignment horizontal="right"/>
    </xf>
    <xf numFmtId="0" fontId="0" fillId="0" borderId="0" xfId="0" applyFill="1" applyAlignment="1" applyProtection="1">
      <alignment horizontal="right"/>
    </xf>
    <xf numFmtId="0" fontId="11" fillId="3" borderId="0" xfId="0" applyFont="1" applyFill="1" applyBorder="1" applyAlignment="1" applyProtection="1">
      <alignment horizontal="left"/>
    </xf>
    <xf numFmtId="0" fontId="0" fillId="3" borderId="0" xfId="0" applyFill="1" applyBorder="1" applyAlignment="1" applyProtection="1">
      <alignment horizontal="center"/>
    </xf>
    <xf numFmtId="0" fontId="2" fillId="3" borderId="0" xfId="0" applyFont="1" applyFill="1"/>
    <xf numFmtId="2" fontId="2" fillId="3" borderId="0" xfId="0" applyNumberFormat="1" applyFont="1" applyFill="1"/>
    <xf numFmtId="0" fontId="7" fillId="3" borderId="0" xfId="0" applyFont="1" applyFill="1" applyBorder="1" applyAlignment="1" applyProtection="1">
      <alignment horizontal="right"/>
    </xf>
    <xf numFmtId="0" fontId="26" fillId="3" borderId="0" xfId="0" applyFont="1" applyFill="1" applyBorder="1" applyAlignment="1" applyProtection="1"/>
    <xf numFmtId="0" fontId="25" fillId="3" borderId="0" xfId="0" applyFont="1" applyFill="1" applyBorder="1" applyAlignment="1" applyProtection="1"/>
    <xf numFmtId="0" fontId="7" fillId="3" borderId="0" xfId="0" applyFont="1" applyFill="1" applyBorder="1" applyAlignment="1" applyProtection="1">
      <alignment horizontal="left"/>
    </xf>
    <xf numFmtId="2" fontId="7" fillId="3" borderId="0" xfId="0" applyNumberFormat="1" applyFont="1" applyFill="1" applyBorder="1" applyAlignment="1" applyProtection="1">
      <alignment horizontal="right"/>
    </xf>
    <xf numFmtId="2" fontId="7" fillId="3" borderId="0" xfId="0" applyNumberFormat="1" applyFont="1" applyFill="1" applyAlignment="1" applyProtection="1">
      <alignment horizontal="right"/>
    </xf>
    <xf numFmtId="0" fontId="0" fillId="3" borderId="0" xfId="0" applyFill="1" applyAlignment="1" applyProtection="1">
      <alignment horizontal="center"/>
    </xf>
    <xf numFmtId="1" fontId="7" fillId="3" borderId="0" xfId="0" applyNumberFormat="1" applyFont="1" applyFill="1" applyBorder="1" applyAlignment="1" applyProtection="1">
      <alignment horizontal="right"/>
    </xf>
    <xf numFmtId="1" fontId="7" fillId="3" borderId="0" xfId="0" applyNumberFormat="1" applyFont="1" applyFill="1" applyAlignment="1" applyProtection="1">
      <alignment horizontal="right"/>
    </xf>
    <xf numFmtId="0" fontId="0" fillId="3" borderId="0" xfId="0" applyFill="1" applyAlignment="1" applyProtection="1">
      <alignment horizontal="right"/>
    </xf>
    <xf numFmtId="0" fontId="32" fillId="3" borderId="0" xfId="0" applyFont="1" applyFill="1" applyBorder="1" applyAlignment="1" applyProtection="1">
      <alignment horizontal="right"/>
    </xf>
    <xf numFmtId="0" fontId="13" fillId="3" borderId="0" xfId="0" applyFont="1" applyFill="1" applyProtection="1"/>
    <xf numFmtId="0" fontId="13" fillId="3" borderId="0" xfId="0" applyFont="1" applyFill="1" applyBorder="1" applyProtection="1"/>
    <xf numFmtId="0" fontId="0" fillId="3" borderId="15" xfId="0" applyFill="1" applyBorder="1" applyAlignment="1" applyProtection="1">
      <alignment horizontal="right"/>
    </xf>
    <xf numFmtId="1" fontId="30" fillId="3" borderId="0" xfId="0" applyNumberFormat="1" applyFont="1" applyFill="1" applyBorder="1" applyAlignment="1" applyProtection="1">
      <alignment horizontal="right"/>
    </xf>
    <xf numFmtId="0" fontId="8" fillId="3" borderId="0" xfId="0" applyFont="1" applyFill="1" applyBorder="1" applyAlignment="1" applyProtection="1">
      <alignment horizontal="center"/>
    </xf>
    <xf numFmtId="0" fontId="8" fillId="3" borderId="19" xfId="0" applyFont="1" applyFill="1" applyBorder="1" applyAlignment="1" applyProtection="1">
      <alignment horizontal="center"/>
    </xf>
    <xf numFmtId="0" fontId="0" fillId="3" borderId="0" xfId="0" applyFill="1" applyBorder="1" applyAlignment="1" applyProtection="1">
      <alignment horizontal="left"/>
    </xf>
    <xf numFmtId="0" fontId="0" fillId="3" borderId="10" xfId="0" applyFill="1" applyBorder="1" applyAlignment="1" applyProtection="1">
      <alignment horizontal="center"/>
    </xf>
    <xf numFmtId="0" fontId="0" fillId="3" borderId="22" xfId="0" applyFill="1" applyBorder="1" applyAlignment="1" applyProtection="1">
      <alignment horizontal="center"/>
    </xf>
    <xf numFmtId="0" fontId="0" fillId="3" borderId="13" xfId="0" applyFill="1" applyBorder="1" applyAlignment="1" applyProtection="1">
      <alignment horizontal="center"/>
    </xf>
    <xf numFmtId="0" fontId="0" fillId="3" borderId="12" xfId="0" applyFill="1" applyBorder="1" applyAlignment="1" applyProtection="1">
      <alignment horizontal="center"/>
    </xf>
    <xf numFmtId="0" fontId="26" fillId="3" borderId="0" xfId="0" applyFont="1" applyFill="1" applyBorder="1" applyAlignment="1" applyProtection="1">
      <alignment horizontal="left"/>
    </xf>
    <xf numFmtId="0" fontId="26" fillId="3" borderId="14" xfId="0" applyFont="1" applyFill="1" applyBorder="1" applyAlignment="1" applyProtection="1">
      <alignment horizontal="center" vertical="center"/>
    </xf>
    <xf numFmtId="0" fontId="26" fillId="3" borderId="15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 wrapText="1"/>
    </xf>
    <xf numFmtId="0" fontId="18" fillId="3" borderId="0" xfId="0" applyFont="1" applyFill="1" applyBorder="1" applyAlignment="1" applyProtection="1">
      <alignment horizontal="center"/>
    </xf>
    <xf numFmtId="0" fontId="11" fillId="3" borderId="0" xfId="0" applyFont="1" applyFill="1" applyBorder="1" applyAlignment="1" applyProtection="1">
      <alignment horizontal="left"/>
    </xf>
    <xf numFmtId="0" fontId="0" fillId="3" borderId="0" xfId="0" applyFill="1" applyBorder="1" applyAlignment="1" applyProtection="1">
      <alignment horizontal="center"/>
    </xf>
    <xf numFmtId="0" fontId="18" fillId="3" borderId="16" xfId="0" applyFont="1" applyFill="1" applyBorder="1" applyAlignment="1" applyProtection="1">
      <alignment horizontal="center"/>
    </xf>
    <xf numFmtId="0" fontId="8" fillId="3" borderId="17" xfId="0" applyFont="1" applyFill="1" applyBorder="1" applyAlignment="1" applyProtection="1">
      <alignment horizontal="center"/>
    </xf>
    <xf numFmtId="0" fontId="8" fillId="3" borderId="14" xfId="0" applyFont="1" applyFill="1" applyBorder="1" applyAlignment="1" applyProtection="1">
      <alignment horizontal="center"/>
    </xf>
    <xf numFmtId="0" fontId="8" fillId="3" borderId="18" xfId="0" applyFont="1" applyFill="1" applyBorder="1" applyAlignment="1" applyProtection="1">
      <alignment horizontal="center"/>
    </xf>
    <xf numFmtId="0" fontId="32" fillId="3" borderId="0" xfId="0" applyNumberFormat="1" applyFont="1" applyFill="1" applyBorder="1" applyAlignment="1" applyProtection="1">
      <alignment horizontal="left"/>
    </xf>
    <xf numFmtId="0" fontId="32" fillId="3" borderId="0" xfId="0" applyFont="1" applyFill="1" applyBorder="1" applyAlignment="1" applyProtection="1">
      <alignment horizontal="left"/>
    </xf>
    <xf numFmtId="0" fontId="32" fillId="3" borderId="0" xfId="0" applyFont="1" applyFill="1" applyBorder="1" applyAlignment="1" applyProtection="1">
      <alignment horizontal="center"/>
    </xf>
    <xf numFmtId="0" fontId="24" fillId="3" borderId="25" xfId="0" applyFont="1" applyFill="1" applyBorder="1" applyAlignment="1" applyProtection="1">
      <alignment horizontal="center"/>
    </xf>
    <xf numFmtId="0" fontId="24" fillId="3" borderId="26" xfId="0" applyFont="1" applyFill="1" applyBorder="1" applyAlignment="1" applyProtection="1">
      <alignment horizontal="center"/>
    </xf>
    <xf numFmtId="0" fontId="24" fillId="3" borderId="27" xfId="0" applyFont="1" applyFill="1" applyBorder="1" applyAlignment="1" applyProtection="1">
      <alignment horizontal="center"/>
    </xf>
    <xf numFmtId="0" fontId="14" fillId="3" borderId="16" xfId="2" applyFill="1" applyBorder="1" applyAlignment="1" applyProtection="1">
      <alignment horizontal="center"/>
    </xf>
    <xf numFmtId="0" fontId="14" fillId="3" borderId="0" xfId="2" applyFill="1" applyBorder="1" applyAlignment="1" applyProtection="1">
      <alignment horizontal="center"/>
    </xf>
    <xf numFmtId="0" fontId="31" fillId="3" borderId="16" xfId="0" applyFont="1" applyFill="1" applyBorder="1" applyAlignment="1" applyProtection="1">
      <alignment horizontal="center"/>
    </xf>
    <xf numFmtId="0" fontId="31" fillId="3" borderId="0" xfId="0" applyFont="1" applyFill="1" applyBorder="1" applyAlignment="1" applyProtection="1">
      <alignment horizontal="center"/>
    </xf>
    <xf numFmtId="0" fontId="38" fillId="3" borderId="16" xfId="0" applyFont="1" applyFill="1" applyBorder="1" applyAlignment="1" applyProtection="1">
      <alignment horizontal="center"/>
    </xf>
    <xf numFmtId="0" fontId="38" fillId="3" borderId="0" xfId="0" applyFont="1" applyFill="1" applyBorder="1" applyAlignment="1" applyProtection="1">
      <alignment horizontal="center"/>
    </xf>
    <xf numFmtId="0" fontId="3" fillId="3" borderId="14" xfId="0" applyFont="1" applyFill="1" applyBorder="1" applyAlignment="1" applyProtection="1">
      <alignment horizontal="center"/>
    </xf>
    <xf numFmtId="0" fontId="30" fillId="3" borderId="15" xfId="0" applyFont="1" applyFill="1" applyBorder="1" applyAlignment="1" applyProtection="1">
      <alignment horizontal="center"/>
    </xf>
    <xf numFmtId="0" fontId="30" fillId="3" borderId="21" xfId="0" applyFont="1" applyFill="1" applyBorder="1" applyAlignment="1" applyProtection="1">
      <alignment horizontal="center"/>
    </xf>
    <xf numFmtId="0" fontId="15" fillId="3" borderId="0" xfId="5" applyFont="1" applyFill="1" applyBorder="1" applyAlignment="1" applyProtection="1">
      <alignment horizontal="center" vertical="center"/>
    </xf>
    <xf numFmtId="0" fontId="21" fillId="3" borderId="0" xfId="3" applyFont="1" applyFill="1" applyBorder="1" applyAlignment="1" applyProtection="1">
      <alignment horizontal="center"/>
    </xf>
    <xf numFmtId="167" fontId="18" fillId="3" borderId="0" xfId="3" applyNumberFormat="1" applyFont="1" applyFill="1" applyBorder="1" applyAlignment="1" applyProtection="1">
      <alignment horizontal="center" vertical="center"/>
    </xf>
    <xf numFmtId="167" fontId="18" fillId="3" borderId="19" xfId="3" applyNumberFormat="1" applyFont="1" applyFill="1" applyBorder="1" applyAlignment="1" applyProtection="1">
      <alignment horizontal="center" vertical="center"/>
    </xf>
    <xf numFmtId="0" fontId="0" fillId="3" borderId="11" xfId="0" applyFill="1" applyBorder="1" applyAlignment="1" applyProtection="1">
      <alignment horizontal="center"/>
    </xf>
    <xf numFmtId="0" fontId="0" fillId="3" borderId="5" xfId="0" applyFill="1" applyBorder="1" applyAlignment="1" applyProtection="1">
      <alignment horizontal="center"/>
    </xf>
    <xf numFmtId="0" fontId="0" fillId="3" borderId="1" xfId="0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3" borderId="3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0" fillId="3" borderId="3" xfId="0" applyFill="1" applyBorder="1" applyAlignment="1" applyProtection="1">
      <alignment horizontal="center"/>
    </xf>
    <xf numFmtId="0" fontId="0" fillId="3" borderId="4" xfId="0" applyFill="1" applyBorder="1" applyAlignment="1" applyProtection="1">
      <alignment horizontal="center"/>
    </xf>
    <xf numFmtId="0" fontId="13" fillId="3" borderId="0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0" xfId="0" applyFont="1" applyFill="1" applyAlignment="1" applyProtection="1">
      <alignment horizontal="center"/>
    </xf>
    <xf numFmtId="0" fontId="32" fillId="3" borderId="0" xfId="0" applyNumberFormat="1" applyFont="1" applyFill="1" applyBorder="1" applyAlignment="1" applyProtection="1">
      <alignment horizontal="center"/>
    </xf>
    <xf numFmtId="0" fontId="32" fillId="3" borderId="0" xfId="0" applyFont="1" applyFill="1" applyBorder="1" applyAlignment="1" applyProtection="1"/>
    <xf numFmtId="0" fontId="8" fillId="3" borderId="0" xfId="0" applyFont="1" applyFill="1" applyAlignment="1">
      <alignment horizontal="center"/>
    </xf>
    <xf numFmtId="0" fontId="14" fillId="3" borderId="19" xfId="2" applyFill="1" applyBorder="1" applyAlignment="1" applyProtection="1">
      <alignment horizontal="center"/>
    </xf>
    <xf numFmtId="0" fontId="3" fillId="3" borderId="14" xfId="0" applyFont="1" applyFill="1" applyBorder="1" applyAlignment="1">
      <alignment horizontal="center"/>
    </xf>
    <xf numFmtId="0" fontId="15" fillId="3" borderId="16" xfId="5" applyFont="1" applyFill="1" applyBorder="1" applyAlignment="1" applyProtection="1">
      <alignment vertical="center"/>
    </xf>
    <xf numFmtId="0" fontId="15" fillId="3" borderId="0" xfId="5" applyFont="1" applyFill="1" applyBorder="1" applyAlignment="1" applyProtection="1">
      <alignment vertical="center"/>
    </xf>
  </cellXfs>
  <cellStyles count="7">
    <cellStyle name="1000-sep (2 dec)" xfId="1" builtinId="3"/>
    <cellStyle name="1000-sep (2 dec) 2" xfId="4"/>
    <cellStyle name="Hyperlink" xfId="2" builtinId="8"/>
    <cellStyle name="Hyperlink 2" xfId="5"/>
    <cellStyle name="Normal" xfId="0" builtinId="0"/>
    <cellStyle name="Normal 2" xfId="3"/>
    <cellStyle name="Procent 2" xfId="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emf"/><Relationship Id="rId3" Type="http://schemas.openxmlformats.org/officeDocument/2006/relationships/image" Target="../media/image15.emf"/><Relationship Id="rId7" Type="http://schemas.openxmlformats.org/officeDocument/2006/relationships/image" Target="../media/image19.emf"/><Relationship Id="rId12" Type="http://schemas.openxmlformats.org/officeDocument/2006/relationships/image" Target="../media/image24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11" Type="http://schemas.openxmlformats.org/officeDocument/2006/relationships/image" Target="../media/image23.emf"/><Relationship Id="rId5" Type="http://schemas.openxmlformats.org/officeDocument/2006/relationships/image" Target="../media/image17.emf"/><Relationship Id="rId10" Type="http://schemas.openxmlformats.org/officeDocument/2006/relationships/image" Target="../media/image22.emf"/><Relationship Id="rId4" Type="http://schemas.openxmlformats.org/officeDocument/2006/relationships/image" Target="../media/image16.emf"/><Relationship Id="rId9" Type="http://schemas.openxmlformats.org/officeDocument/2006/relationships/image" Target="../media/image21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emf"/><Relationship Id="rId3" Type="http://schemas.openxmlformats.org/officeDocument/2006/relationships/image" Target="../media/image27.emf"/><Relationship Id="rId7" Type="http://schemas.openxmlformats.org/officeDocument/2006/relationships/image" Target="../media/image31.emf"/><Relationship Id="rId2" Type="http://schemas.openxmlformats.org/officeDocument/2006/relationships/image" Target="../media/image26.emf"/><Relationship Id="rId1" Type="http://schemas.openxmlformats.org/officeDocument/2006/relationships/image" Target="../media/image25.emf"/><Relationship Id="rId6" Type="http://schemas.openxmlformats.org/officeDocument/2006/relationships/image" Target="../media/image30.emf"/><Relationship Id="rId5" Type="http://schemas.openxmlformats.org/officeDocument/2006/relationships/image" Target="../media/image29.emf"/><Relationship Id="rId10" Type="http://schemas.openxmlformats.org/officeDocument/2006/relationships/image" Target="../media/image34.emf"/><Relationship Id="rId4" Type="http://schemas.openxmlformats.org/officeDocument/2006/relationships/image" Target="../media/image28.emf"/><Relationship Id="rId9" Type="http://schemas.openxmlformats.org/officeDocument/2006/relationships/image" Target="../media/image33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emf"/><Relationship Id="rId3" Type="http://schemas.openxmlformats.org/officeDocument/2006/relationships/image" Target="../media/image37.emf"/><Relationship Id="rId7" Type="http://schemas.openxmlformats.org/officeDocument/2006/relationships/image" Target="../media/image41.emf"/><Relationship Id="rId2" Type="http://schemas.openxmlformats.org/officeDocument/2006/relationships/image" Target="../media/image36.emf"/><Relationship Id="rId1" Type="http://schemas.openxmlformats.org/officeDocument/2006/relationships/image" Target="../media/image35.emf"/><Relationship Id="rId6" Type="http://schemas.openxmlformats.org/officeDocument/2006/relationships/image" Target="../media/image40.emf"/><Relationship Id="rId5" Type="http://schemas.openxmlformats.org/officeDocument/2006/relationships/image" Target="../media/image39.emf"/><Relationship Id="rId10" Type="http://schemas.openxmlformats.org/officeDocument/2006/relationships/image" Target="../media/image44.emf"/><Relationship Id="rId4" Type="http://schemas.openxmlformats.org/officeDocument/2006/relationships/image" Target="../media/image38.emf"/><Relationship Id="rId9" Type="http://schemas.openxmlformats.org/officeDocument/2006/relationships/image" Target="../media/image43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emf"/><Relationship Id="rId3" Type="http://schemas.openxmlformats.org/officeDocument/2006/relationships/image" Target="../media/image47.emf"/><Relationship Id="rId7" Type="http://schemas.openxmlformats.org/officeDocument/2006/relationships/image" Target="../media/image51.emf"/><Relationship Id="rId2" Type="http://schemas.openxmlformats.org/officeDocument/2006/relationships/image" Target="../media/image46.emf"/><Relationship Id="rId1" Type="http://schemas.openxmlformats.org/officeDocument/2006/relationships/image" Target="../media/image45.emf"/><Relationship Id="rId6" Type="http://schemas.openxmlformats.org/officeDocument/2006/relationships/image" Target="../media/image50.emf"/><Relationship Id="rId5" Type="http://schemas.openxmlformats.org/officeDocument/2006/relationships/image" Target="../media/image49.emf"/><Relationship Id="rId10" Type="http://schemas.openxmlformats.org/officeDocument/2006/relationships/image" Target="../media/image54.emf"/><Relationship Id="rId4" Type="http://schemas.openxmlformats.org/officeDocument/2006/relationships/image" Target="../media/image48.emf"/><Relationship Id="rId9" Type="http://schemas.openxmlformats.org/officeDocument/2006/relationships/image" Target="../media/image53.em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emf"/><Relationship Id="rId3" Type="http://schemas.openxmlformats.org/officeDocument/2006/relationships/image" Target="../media/image57.emf"/><Relationship Id="rId7" Type="http://schemas.openxmlformats.org/officeDocument/2006/relationships/image" Target="../media/image61.emf"/><Relationship Id="rId2" Type="http://schemas.openxmlformats.org/officeDocument/2006/relationships/image" Target="../media/image56.emf"/><Relationship Id="rId1" Type="http://schemas.openxmlformats.org/officeDocument/2006/relationships/image" Target="../media/image55.emf"/><Relationship Id="rId6" Type="http://schemas.openxmlformats.org/officeDocument/2006/relationships/image" Target="../media/image60.emf"/><Relationship Id="rId5" Type="http://schemas.openxmlformats.org/officeDocument/2006/relationships/image" Target="../media/image59.emf"/><Relationship Id="rId10" Type="http://schemas.openxmlformats.org/officeDocument/2006/relationships/image" Target="../media/image64.emf"/><Relationship Id="rId4" Type="http://schemas.openxmlformats.org/officeDocument/2006/relationships/image" Target="../media/image58.emf"/><Relationship Id="rId9" Type="http://schemas.openxmlformats.org/officeDocument/2006/relationships/image" Target="../media/image63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6.gif"/><Relationship Id="rId1" Type="http://schemas.openxmlformats.org/officeDocument/2006/relationships/image" Target="../media/image65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247</xdr:row>
      <xdr:rowOff>0</xdr:rowOff>
    </xdr:from>
    <xdr:to>
      <xdr:col>13</xdr:col>
      <xdr:colOff>619680</xdr:colOff>
      <xdr:row>266</xdr:row>
      <xdr:rowOff>110040</xdr:rowOff>
    </xdr:to>
    <xdr:pic>
      <xdr:nvPicPr>
        <xdr:cNvPr id="1033" name="Picture 9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020" y="4498086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292</xdr:row>
      <xdr:rowOff>0</xdr:rowOff>
    </xdr:from>
    <xdr:to>
      <xdr:col>13</xdr:col>
      <xdr:colOff>619680</xdr:colOff>
      <xdr:row>309</xdr:row>
      <xdr:rowOff>115800</xdr:rowOff>
    </xdr:to>
    <xdr:pic>
      <xdr:nvPicPr>
        <xdr:cNvPr id="1028" name="Picture 4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020" y="53873400"/>
          <a:ext cx="10800000" cy="324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225</xdr:row>
      <xdr:rowOff>22860</xdr:rowOff>
    </xdr:from>
    <xdr:to>
      <xdr:col>13</xdr:col>
      <xdr:colOff>619680</xdr:colOff>
      <xdr:row>244</xdr:row>
      <xdr:rowOff>148140</xdr:rowOff>
    </xdr:to>
    <xdr:pic>
      <xdr:nvPicPr>
        <xdr:cNvPr id="7" name="Picture 6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020" y="4152900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13</xdr:col>
      <xdr:colOff>619680</xdr:colOff>
      <xdr:row>223</xdr:row>
      <xdr:rowOff>110040</xdr:rowOff>
    </xdr:to>
    <xdr:pic>
      <xdr:nvPicPr>
        <xdr:cNvPr id="8" name="Picture 7"/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020" y="3761994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13</xdr:col>
      <xdr:colOff>619680</xdr:colOff>
      <xdr:row>127</xdr:row>
      <xdr:rowOff>125280</xdr:rowOff>
    </xdr:to>
    <xdr:pic>
      <xdr:nvPicPr>
        <xdr:cNvPr id="3" name="Picture 2"/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0020" y="1986534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160019</xdr:colOff>
      <xdr:row>270</xdr:row>
      <xdr:rowOff>0</xdr:rowOff>
    </xdr:from>
    <xdr:to>
      <xdr:col>13</xdr:col>
      <xdr:colOff>619679</xdr:colOff>
      <xdr:row>289</xdr:row>
      <xdr:rowOff>110040</xdr:rowOff>
    </xdr:to>
    <xdr:pic>
      <xdr:nvPicPr>
        <xdr:cNvPr id="6" name="Picture 3"/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0019" y="4981956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13</xdr:col>
      <xdr:colOff>619680</xdr:colOff>
      <xdr:row>150</xdr:row>
      <xdr:rowOff>125280</xdr:rowOff>
    </xdr:to>
    <xdr:pic>
      <xdr:nvPicPr>
        <xdr:cNvPr id="2" name="Picture 4"/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0020" y="2408682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13</xdr:col>
      <xdr:colOff>619680</xdr:colOff>
      <xdr:row>173</xdr:row>
      <xdr:rowOff>125280</xdr:rowOff>
    </xdr:to>
    <xdr:pic>
      <xdr:nvPicPr>
        <xdr:cNvPr id="10" name="Picture 5"/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0020" y="2832354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13</xdr:col>
      <xdr:colOff>619680</xdr:colOff>
      <xdr:row>199</xdr:row>
      <xdr:rowOff>125280</xdr:rowOff>
    </xdr:to>
    <xdr:pic>
      <xdr:nvPicPr>
        <xdr:cNvPr id="1030" name="Picture 6"/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0020" y="3316986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15240</xdr:colOff>
      <xdr:row>35</xdr:row>
      <xdr:rowOff>15240</xdr:rowOff>
    </xdr:from>
    <xdr:to>
      <xdr:col>38</xdr:col>
      <xdr:colOff>194035</xdr:colOff>
      <xdr:row>54</xdr:row>
      <xdr:rowOff>79560</xdr:rowOff>
    </xdr:to>
    <xdr:pic>
      <xdr:nvPicPr>
        <xdr:cNvPr id="1029" name="Picture 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703040" y="6858000"/>
          <a:ext cx="5733775" cy="3600000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7620</xdr:colOff>
      <xdr:row>8</xdr:row>
      <xdr:rowOff>83820</xdr:rowOff>
    </xdr:from>
    <xdr:to>
      <xdr:col>38</xdr:col>
      <xdr:colOff>186415</xdr:colOff>
      <xdr:row>26</xdr:row>
      <xdr:rowOff>171000</xdr:rowOff>
    </xdr:to>
    <xdr:pic>
      <xdr:nvPicPr>
        <xdr:cNvPr id="11" name="Picture 6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695420" y="1752600"/>
          <a:ext cx="5733775" cy="3600000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7620</xdr:colOff>
      <xdr:row>61</xdr:row>
      <xdr:rowOff>175260</xdr:rowOff>
    </xdr:from>
    <xdr:to>
      <xdr:col>38</xdr:col>
      <xdr:colOff>186415</xdr:colOff>
      <xdr:row>81</xdr:row>
      <xdr:rowOff>87180</xdr:rowOff>
    </xdr:to>
    <xdr:pic>
      <xdr:nvPicPr>
        <xdr:cNvPr id="1031" name="Picture 7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695420" y="11849100"/>
          <a:ext cx="5733775" cy="36000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131</xdr:row>
      <xdr:rowOff>0</xdr:rowOff>
    </xdr:from>
    <xdr:to>
      <xdr:col>13</xdr:col>
      <xdr:colOff>627300</xdr:colOff>
      <xdr:row>150</xdr:row>
      <xdr:rowOff>125280</xdr:rowOff>
    </xdr:to>
    <xdr:pic>
      <xdr:nvPicPr>
        <xdr:cNvPr id="2053" name="Picture 5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020" y="2389632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204</xdr:row>
      <xdr:rowOff>7620</xdr:rowOff>
    </xdr:from>
    <xdr:to>
      <xdr:col>13</xdr:col>
      <xdr:colOff>627300</xdr:colOff>
      <xdr:row>223</xdr:row>
      <xdr:rowOff>117660</xdr:rowOff>
    </xdr:to>
    <xdr:pic>
      <xdr:nvPicPr>
        <xdr:cNvPr id="5" name="Picture 5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020" y="3763518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225</xdr:row>
      <xdr:rowOff>15240</xdr:rowOff>
    </xdr:from>
    <xdr:to>
      <xdr:col>13</xdr:col>
      <xdr:colOff>627300</xdr:colOff>
      <xdr:row>244</xdr:row>
      <xdr:rowOff>140520</xdr:rowOff>
    </xdr:to>
    <xdr:pic>
      <xdr:nvPicPr>
        <xdr:cNvPr id="6" name="Picture 6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020" y="4152900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247</xdr:row>
      <xdr:rowOff>0</xdr:rowOff>
    </xdr:from>
    <xdr:to>
      <xdr:col>13</xdr:col>
      <xdr:colOff>627300</xdr:colOff>
      <xdr:row>266</xdr:row>
      <xdr:rowOff>110040</xdr:rowOff>
    </xdr:to>
    <xdr:pic>
      <xdr:nvPicPr>
        <xdr:cNvPr id="7" name="Picture 7"/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020" y="4558284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271</xdr:row>
      <xdr:rowOff>0</xdr:rowOff>
    </xdr:from>
    <xdr:to>
      <xdr:col>13</xdr:col>
      <xdr:colOff>627300</xdr:colOff>
      <xdr:row>290</xdr:row>
      <xdr:rowOff>125280</xdr:rowOff>
    </xdr:to>
    <xdr:pic>
      <xdr:nvPicPr>
        <xdr:cNvPr id="2052" name="Picture 4"/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0020" y="5001006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293</xdr:row>
      <xdr:rowOff>0</xdr:rowOff>
    </xdr:from>
    <xdr:to>
      <xdr:col>13</xdr:col>
      <xdr:colOff>627300</xdr:colOff>
      <xdr:row>310</xdr:row>
      <xdr:rowOff>131040</xdr:rowOff>
    </xdr:to>
    <xdr:pic>
      <xdr:nvPicPr>
        <xdr:cNvPr id="8" name="Picture 5"/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0020" y="54048660"/>
          <a:ext cx="10800000" cy="324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13</xdr:col>
      <xdr:colOff>627300</xdr:colOff>
      <xdr:row>127</xdr:row>
      <xdr:rowOff>125280</xdr:rowOff>
    </xdr:to>
    <xdr:pic>
      <xdr:nvPicPr>
        <xdr:cNvPr id="9" name="Picture 6"/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0020" y="1987296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13</xdr:col>
      <xdr:colOff>627300</xdr:colOff>
      <xdr:row>173</xdr:row>
      <xdr:rowOff>125280</xdr:rowOff>
    </xdr:to>
    <xdr:pic>
      <xdr:nvPicPr>
        <xdr:cNvPr id="2" name="Picture 4"/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0020" y="2833116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13</xdr:col>
      <xdr:colOff>627300</xdr:colOff>
      <xdr:row>199</xdr:row>
      <xdr:rowOff>125280</xdr:rowOff>
    </xdr:to>
    <xdr:pic>
      <xdr:nvPicPr>
        <xdr:cNvPr id="3" name="Picture 5"/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0020" y="3317748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15240</xdr:colOff>
      <xdr:row>8</xdr:row>
      <xdr:rowOff>45720</xdr:rowOff>
    </xdr:from>
    <xdr:to>
      <xdr:col>38</xdr:col>
      <xdr:colOff>178795</xdr:colOff>
      <xdr:row>26</xdr:row>
      <xdr:rowOff>125280</xdr:rowOff>
    </xdr:to>
    <xdr:pic>
      <xdr:nvPicPr>
        <xdr:cNvPr id="4" name="Picture 4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695420" y="1714500"/>
          <a:ext cx="5733775" cy="3600000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22860</xdr:colOff>
      <xdr:row>34</xdr:row>
      <xdr:rowOff>152400</xdr:rowOff>
    </xdr:from>
    <xdr:to>
      <xdr:col>38</xdr:col>
      <xdr:colOff>186415</xdr:colOff>
      <xdr:row>54</xdr:row>
      <xdr:rowOff>33840</xdr:rowOff>
    </xdr:to>
    <xdr:pic>
      <xdr:nvPicPr>
        <xdr:cNvPr id="10" name="Picture 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703040" y="6819900"/>
          <a:ext cx="5733775" cy="3600000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30480</xdr:colOff>
      <xdr:row>61</xdr:row>
      <xdr:rowOff>137160</xdr:rowOff>
    </xdr:from>
    <xdr:to>
      <xdr:col>38</xdr:col>
      <xdr:colOff>194035</xdr:colOff>
      <xdr:row>81</xdr:row>
      <xdr:rowOff>49080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710660" y="11818620"/>
          <a:ext cx="5733775" cy="360000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436800</xdr:colOff>
      <xdr:row>20</xdr:row>
      <xdr:rowOff>125280</xdr:rowOff>
    </xdr:to>
    <xdr:pic>
      <xdr:nvPicPr>
        <xdr:cNvPr id="4098" name="Picture 2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19812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18</xdr:col>
      <xdr:colOff>436800</xdr:colOff>
      <xdr:row>43</xdr:row>
      <xdr:rowOff>125280</xdr:rowOff>
    </xdr:to>
    <xdr:pic>
      <xdr:nvPicPr>
        <xdr:cNvPr id="4099" name="Picture 3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0" y="441960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18</xdr:col>
      <xdr:colOff>436800</xdr:colOff>
      <xdr:row>67</xdr:row>
      <xdr:rowOff>125280</xdr:rowOff>
    </xdr:to>
    <xdr:pic>
      <xdr:nvPicPr>
        <xdr:cNvPr id="4100" name="Picture 4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500" y="882396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18</xdr:col>
      <xdr:colOff>436800</xdr:colOff>
      <xdr:row>91</xdr:row>
      <xdr:rowOff>125280</xdr:rowOff>
    </xdr:to>
    <xdr:pic>
      <xdr:nvPicPr>
        <xdr:cNvPr id="4101" name="Picture 5"/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0500" y="1322832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0</xdr:colOff>
      <xdr:row>1</xdr:row>
      <xdr:rowOff>0</xdr:rowOff>
    </xdr:from>
    <xdr:to>
      <xdr:col>36</xdr:col>
      <xdr:colOff>436800</xdr:colOff>
      <xdr:row>20</xdr:row>
      <xdr:rowOff>125280</xdr:rowOff>
    </xdr:to>
    <xdr:pic>
      <xdr:nvPicPr>
        <xdr:cNvPr id="4102" name="Picture 6"/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163300" y="19812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0</xdr:colOff>
      <xdr:row>24</xdr:row>
      <xdr:rowOff>0</xdr:rowOff>
    </xdr:from>
    <xdr:to>
      <xdr:col>36</xdr:col>
      <xdr:colOff>436800</xdr:colOff>
      <xdr:row>43</xdr:row>
      <xdr:rowOff>125280</xdr:rowOff>
    </xdr:to>
    <xdr:pic>
      <xdr:nvPicPr>
        <xdr:cNvPr id="4103" name="Picture 7"/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163300" y="441960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0</xdr:colOff>
      <xdr:row>48</xdr:row>
      <xdr:rowOff>0</xdr:rowOff>
    </xdr:from>
    <xdr:to>
      <xdr:col>36</xdr:col>
      <xdr:colOff>436800</xdr:colOff>
      <xdr:row>67</xdr:row>
      <xdr:rowOff>125280</xdr:rowOff>
    </xdr:to>
    <xdr:pic>
      <xdr:nvPicPr>
        <xdr:cNvPr id="4104" name="Picture 8"/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163300" y="882396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54</xdr:col>
      <xdr:colOff>436800</xdr:colOff>
      <xdr:row>67</xdr:row>
      <xdr:rowOff>125280</xdr:rowOff>
    </xdr:to>
    <xdr:pic>
      <xdr:nvPicPr>
        <xdr:cNvPr id="4105" name="Picture 9"/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136100" y="882396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37</xdr:col>
      <xdr:colOff>0</xdr:colOff>
      <xdr:row>1</xdr:row>
      <xdr:rowOff>0</xdr:rowOff>
    </xdr:from>
    <xdr:to>
      <xdr:col>54</xdr:col>
      <xdr:colOff>436800</xdr:colOff>
      <xdr:row>20</xdr:row>
      <xdr:rowOff>125280</xdr:rowOff>
    </xdr:to>
    <xdr:pic>
      <xdr:nvPicPr>
        <xdr:cNvPr id="4106" name="Picture 10"/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136100" y="19812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37</xdr:col>
      <xdr:colOff>0</xdr:colOff>
      <xdr:row>24</xdr:row>
      <xdr:rowOff>0</xdr:rowOff>
    </xdr:from>
    <xdr:to>
      <xdr:col>54</xdr:col>
      <xdr:colOff>436800</xdr:colOff>
      <xdr:row>43</xdr:row>
      <xdr:rowOff>125280</xdr:rowOff>
    </xdr:to>
    <xdr:pic>
      <xdr:nvPicPr>
        <xdr:cNvPr id="4107" name="Picture 11"/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136100" y="4419600"/>
          <a:ext cx="10800000" cy="36000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18</xdr:col>
      <xdr:colOff>436800</xdr:colOff>
      <xdr:row>43</xdr:row>
      <xdr:rowOff>125280</xdr:rowOff>
    </xdr:to>
    <xdr:pic>
      <xdr:nvPicPr>
        <xdr:cNvPr id="4098" name="Picture 2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441960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18</xdr:col>
      <xdr:colOff>436800</xdr:colOff>
      <xdr:row>67</xdr:row>
      <xdr:rowOff>125280</xdr:rowOff>
    </xdr:to>
    <xdr:pic>
      <xdr:nvPicPr>
        <xdr:cNvPr id="4099" name="Picture 3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0" y="880872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18</xdr:col>
      <xdr:colOff>436800</xdr:colOff>
      <xdr:row>91</xdr:row>
      <xdr:rowOff>125280</xdr:rowOff>
    </xdr:to>
    <xdr:pic>
      <xdr:nvPicPr>
        <xdr:cNvPr id="4100" name="Picture 4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500" y="1321308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0</xdr:colOff>
      <xdr:row>1</xdr:row>
      <xdr:rowOff>0</xdr:rowOff>
    </xdr:from>
    <xdr:to>
      <xdr:col>36</xdr:col>
      <xdr:colOff>436800</xdr:colOff>
      <xdr:row>20</xdr:row>
      <xdr:rowOff>125280</xdr:rowOff>
    </xdr:to>
    <xdr:pic>
      <xdr:nvPicPr>
        <xdr:cNvPr id="4101" name="Picture 5"/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163300" y="19812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0</xdr:colOff>
      <xdr:row>24</xdr:row>
      <xdr:rowOff>0</xdr:rowOff>
    </xdr:from>
    <xdr:to>
      <xdr:col>36</xdr:col>
      <xdr:colOff>436800</xdr:colOff>
      <xdr:row>43</xdr:row>
      <xdr:rowOff>125280</xdr:rowOff>
    </xdr:to>
    <xdr:pic>
      <xdr:nvPicPr>
        <xdr:cNvPr id="4102" name="Picture 6"/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163300" y="441960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0</xdr:colOff>
      <xdr:row>48</xdr:row>
      <xdr:rowOff>0</xdr:rowOff>
    </xdr:from>
    <xdr:to>
      <xdr:col>36</xdr:col>
      <xdr:colOff>436800</xdr:colOff>
      <xdr:row>67</xdr:row>
      <xdr:rowOff>125280</xdr:rowOff>
    </xdr:to>
    <xdr:pic>
      <xdr:nvPicPr>
        <xdr:cNvPr id="4103" name="Picture 7"/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163300" y="882396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54</xdr:col>
      <xdr:colOff>436800</xdr:colOff>
      <xdr:row>67</xdr:row>
      <xdr:rowOff>125280</xdr:rowOff>
    </xdr:to>
    <xdr:pic>
      <xdr:nvPicPr>
        <xdr:cNvPr id="4104" name="Picture 8"/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136100" y="882396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37</xdr:col>
      <xdr:colOff>0</xdr:colOff>
      <xdr:row>1</xdr:row>
      <xdr:rowOff>0</xdr:rowOff>
    </xdr:from>
    <xdr:to>
      <xdr:col>54</xdr:col>
      <xdr:colOff>436800</xdr:colOff>
      <xdr:row>20</xdr:row>
      <xdr:rowOff>125280</xdr:rowOff>
    </xdr:to>
    <xdr:pic>
      <xdr:nvPicPr>
        <xdr:cNvPr id="4105" name="Picture 9"/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136100" y="19812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37</xdr:col>
      <xdr:colOff>0</xdr:colOff>
      <xdr:row>24</xdr:row>
      <xdr:rowOff>0</xdr:rowOff>
    </xdr:from>
    <xdr:to>
      <xdr:col>54</xdr:col>
      <xdr:colOff>436800</xdr:colOff>
      <xdr:row>43</xdr:row>
      <xdr:rowOff>125280</xdr:rowOff>
    </xdr:to>
    <xdr:pic>
      <xdr:nvPicPr>
        <xdr:cNvPr id="4106" name="Picture 10"/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136100" y="441960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18</xdr:col>
      <xdr:colOff>436800</xdr:colOff>
      <xdr:row>20</xdr:row>
      <xdr:rowOff>125280</xdr:rowOff>
    </xdr:to>
    <xdr:pic>
      <xdr:nvPicPr>
        <xdr:cNvPr id="3073" name="Picture 1"/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0500" y="198120"/>
          <a:ext cx="10800000" cy="360000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436800</xdr:colOff>
      <xdr:row>20</xdr:row>
      <xdr:rowOff>125280</xdr:rowOff>
    </xdr:to>
    <xdr:pic>
      <xdr:nvPicPr>
        <xdr:cNvPr id="4097" name="Picture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19812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18</xdr:col>
      <xdr:colOff>436800</xdr:colOff>
      <xdr:row>43</xdr:row>
      <xdr:rowOff>125280</xdr:rowOff>
    </xdr:to>
    <xdr:pic>
      <xdr:nvPicPr>
        <xdr:cNvPr id="4098" name="Picture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0" y="440436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72</xdr:row>
      <xdr:rowOff>38101</xdr:rowOff>
    </xdr:from>
    <xdr:to>
      <xdr:col>18</xdr:col>
      <xdr:colOff>436800</xdr:colOff>
      <xdr:row>91</xdr:row>
      <xdr:rowOff>163381</xdr:rowOff>
    </xdr:to>
    <xdr:pic>
      <xdr:nvPicPr>
        <xdr:cNvPr id="4099" name="Picture 3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500" y="13251181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18</xdr:col>
      <xdr:colOff>436800</xdr:colOff>
      <xdr:row>67</xdr:row>
      <xdr:rowOff>125280</xdr:rowOff>
    </xdr:to>
    <xdr:pic>
      <xdr:nvPicPr>
        <xdr:cNvPr id="4100" name="Picture 4"/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0500" y="880872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0</xdr:colOff>
      <xdr:row>1</xdr:row>
      <xdr:rowOff>0</xdr:rowOff>
    </xdr:from>
    <xdr:to>
      <xdr:col>36</xdr:col>
      <xdr:colOff>436800</xdr:colOff>
      <xdr:row>20</xdr:row>
      <xdr:rowOff>125280</xdr:rowOff>
    </xdr:to>
    <xdr:pic>
      <xdr:nvPicPr>
        <xdr:cNvPr id="3073" name="Picture 1"/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163300" y="18288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0</xdr:colOff>
      <xdr:row>24</xdr:row>
      <xdr:rowOff>0</xdr:rowOff>
    </xdr:from>
    <xdr:to>
      <xdr:col>36</xdr:col>
      <xdr:colOff>436800</xdr:colOff>
      <xdr:row>43</xdr:row>
      <xdr:rowOff>125280</xdr:rowOff>
    </xdr:to>
    <xdr:pic>
      <xdr:nvPicPr>
        <xdr:cNvPr id="3074" name="Picture 2"/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163300" y="440436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0</xdr:colOff>
      <xdr:row>48</xdr:row>
      <xdr:rowOff>0</xdr:rowOff>
    </xdr:from>
    <xdr:to>
      <xdr:col>36</xdr:col>
      <xdr:colOff>436800</xdr:colOff>
      <xdr:row>67</xdr:row>
      <xdr:rowOff>125280</xdr:rowOff>
    </xdr:to>
    <xdr:pic>
      <xdr:nvPicPr>
        <xdr:cNvPr id="3075" name="Picture 3"/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163300" y="882396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54</xdr:col>
      <xdr:colOff>436800</xdr:colOff>
      <xdr:row>67</xdr:row>
      <xdr:rowOff>125280</xdr:rowOff>
    </xdr:to>
    <xdr:pic>
      <xdr:nvPicPr>
        <xdr:cNvPr id="3076" name="Picture 4"/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136100" y="882396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37</xdr:col>
      <xdr:colOff>0</xdr:colOff>
      <xdr:row>1</xdr:row>
      <xdr:rowOff>0</xdr:rowOff>
    </xdr:from>
    <xdr:to>
      <xdr:col>54</xdr:col>
      <xdr:colOff>436800</xdr:colOff>
      <xdr:row>20</xdr:row>
      <xdr:rowOff>125280</xdr:rowOff>
    </xdr:to>
    <xdr:pic>
      <xdr:nvPicPr>
        <xdr:cNvPr id="3077" name="Picture 5"/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136100" y="19812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37</xdr:col>
      <xdr:colOff>0</xdr:colOff>
      <xdr:row>24</xdr:row>
      <xdr:rowOff>0</xdr:rowOff>
    </xdr:from>
    <xdr:to>
      <xdr:col>54</xdr:col>
      <xdr:colOff>436800</xdr:colOff>
      <xdr:row>43</xdr:row>
      <xdr:rowOff>125280</xdr:rowOff>
    </xdr:to>
    <xdr:pic>
      <xdr:nvPicPr>
        <xdr:cNvPr id="3078" name="Picture 6"/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136100" y="4419600"/>
          <a:ext cx="10800000" cy="360000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22860</xdr:colOff>
      <xdr:row>1</xdr:row>
      <xdr:rowOff>0</xdr:rowOff>
    </xdr:from>
    <xdr:to>
      <xdr:col>36</xdr:col>
      <xdr:colOff>459660</xdr:colOff>
      <xdr:row>20</xdr:row>
      <xdr:rowOff>125280</xdr:rowOff>
    </xdr:to>
    <xdr:pic>
      <xdr:nvPicPr>
        <xdr:cNvPr id="3073" name="Picture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186160" y="19812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7620</xdr:colOff>
      <xdr:row>24</xdr:row>
      <xdr:rowOff>0</xdr:rowOff>
    </xdr:from>
    <xdr:to>
      <xdr:col>36</xdr:col>
      <xdr:colOff>444420</xdr:colOff>
      <xdr:row>43</xdr:row>
      <xdr:rowOff>125280</xdr:rowOff>
    </xdr:to>
    <xdr:pic>
      <xdr:nvPicPr>
        <xdr:cNvPr id="3074" name="Picture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70920" y="441960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7620</xdr:colOff>
      <xdr:row>48</xdr:row>
      <xdr:rowOff>7621</xdr:rowOff>
    </xdr:from>
    <xdr:to>
      <xdr:col>36</xdr:col>
      <xdr:colOff>444420</xdr:colOff>
      <xdr:row>67</xdr:row>
      <xdr:rowOff>132901</xdr:rowOff>
    </xdr:to>
    <xdr:pic>
      <xdr:nvPicPr>
        <xdr:cNvPr id="3075" name="Picture 3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70920" y="8831581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54</xdr:col>
      <xdr:colOff>436800</xdr:colOff>
      <xdr:row>67</xdr:row>
      <xdr:rowOff>125280</xdr:rowOff>
    </xdr:to>
    <xdr:pic>
      <xdr:nvPicPr>
        <xdr:cNvPr id="3076" name="Picture 4"/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136100" y="882396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36</xdr:col>
      <xdr:colOff>601980</xdr:colOff>
      <xdr:row>24</xdr:row>
      <xdr:rowOff>0</xdr:rowOff>
    </xdr:from>
    <xdr:to>
      <xdr:col>54</xdr:col>
      <xdr:colOff>429180</xdr:colOff>
      <xdr:row>43</xdr:row>
      <xdr:rowOff>125280</xdr:rowOff>
    </xdr:to>
    <xdr:pic>
      <xdr:nvPicPr>
        <xdr:cNvPr id="3077" name="Picture 5"/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128480" y="441960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37</xdr:col>
      <xdr:colOff>7620</xdr:colOff>
      <xdr:row>1</xdr:row>
      <xdr:rowOff>7620</xdr:rowOff>
    </xdr:from>
    <xdr:to>
      <xdr:col>54</xdr:col>
      <xdr:colOff>444420</xdr:colOff>
      <xdr:row>20</xdr:row>
      <xdr:rowOff>132900</xdr:rowOff>
    </xdr:to>
    <xdr:pic>
      <xdr:nvPicPr>
        <xdr:cNvPr id="3078" name="Picture 6"/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143720" y="20574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18</xdr:col>
      <xdr:colOff>436800</xdr:colOff>
      <xdr:row>20</xdr:row>
      <xdr:rowOff>125280</xdr:rowOff>
    </xdr:to>
    <xdr:pic>
      <xdr:nvPicPr>
        <xdr:cNvPr id="3079" name="Picture 7"/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0500" y="19812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18</xdr:col>
      <xdr:colOff>436800</xdr:colOff>
      <xdr:row>43</xdr:row>
      <xdr:rowOff>125280</xdr:rowOff>
    </xdr:to>
    <xdr:pic>
      <xdr:nvPicPr>
        <xdr:cNvPr id="3081" name="Picture 9"/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0500" y="441960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18</xdr:col>
      <xdr:colOff>436800</xdr:colOff>
      <xdr:row>67</xdr:row>
      <xdr:rowOff>125280</xdr:rowOff>
    </xdr:to>
    <xdr:pic>
      <xdr:nvPicPr>
        <xdr:cNvPr id="3082" name="Picture 10"/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0500" y="8823960"/>
          <a:ext cx="10800000" cy="360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18</xdr:col>
      <xdr:colOff>436800</xdr:colOff>
      <xdr:row>91</xdr:row>
      <xdr:rowOff>125280</xdr:rowOff>
    </xdr:to>
    <xdr:pic>
      <xdr:nvPicPr>
        <xdr:cNvPr id="3083" name="Picture 11"/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0500" y="13228320"/>
          <a:ext cx="10800000" cy="360000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3</xdr:row>
      <xdr:rowOff>7620</xdr:rowOff>
    </xdr:from>
    <xdr:to>
      <xdr:col>7</xdr:col>
      <xdr:colOff>411480</xdr:colOff>
      <xdr:row>19</xdr:row>
      <xdr:rowOff>91440</xdr:rowOff>
    </xdr:to>
    <xdr:pic>
      <xdr:nvPicPr>
        <xdr:cNvPr id="2049" name="Picture 1" descr="transistor collector characteristic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5740" y="556260"/>
          <a:ext cx="4419600" cy="374142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601980</xdr:colOff>
      <xdr:row>2</xdr:row>
      <xdr:rowOff>175260</xdr:rowOff>
    </xdr:from>
    <xdr:to>
      <xdr:col>17</xdr:col>
      <xdr:colOff>114300</xdr:colOff>
      <xdr:row>16</xdr:row>
      <xdr:rowOff>205740</xdr:rowOff>
    </xdr:to>
    <xdr:pic>
      <xdr:nvPicPr>
        <xdr:cNvPr id="2" name="Picture 1" descr="http://hyperphysics.phy-astr.gsu.edu/hbase/electronic/ietron/loadline3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69280" y="541020"/>
          <a:ext cx="4876800" cy="323088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en.wikipedia.org/wiki/Boltzmann%27s_constant" TargetMode="External"/><Relationship Id="rId1" Type="http://schemas.openxmlformats.org/officeDocument/2006/relationships/hyperlink" Target="http://www.walter-lystfisker.dk/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://en.wikipedia.org/wiki/Boltzmann%27s_constant" TargetMode="External"/><Relationship Id="rId1" Type="http://schemas.openxmlformats.org/officeDocument/2006/relationships/hyperlink" Target="http://www.walter-lystfisker.dk/" TargetMode="Externa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://hyperphysics.phy-astr.gsu.edu/hbase/electronic/loadline.html" TargetMode="External"/><Relationship Id="rId1" Type="http://schemas.openxmlformats.org/officeDocument/2006/relationships/hyperlink" Target="http://www.electronics-tutorials.ws/transistor/tran_2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Ark1"/>
  <dimension ref="A1:AO320"/>
  <sheetViews>
    <sheetView tabSelected="1" zoomScaleNormal="100" workbookViewId="0">
      <selection activeCell="N17" sqref="N17"/>
    </sheetView>
  </sheetViews>
  <sheetFormatPr defaultColWidth="8.85546875" defaultRowHeight="15"/>
  <cols>
    <col min="1" max="1" width="2.28515625" style="4" customWidth="1"/>
    <col min="2" max="2" width="14.7109375" style="4" customWidth="1"/>
    <col min="3" max="10" width="12.7109375" style="4" customWidth="1"/>
    <col min="11" max="11" width="10.85546875" style="4" customWidth="1"/>
    <col min="12" max="12" width="10.7109375" style="4" customWidth="1"/>
    <col min="13" max="13" width="9.7109375" style="4" customWidth="1"/>
    <col min="14" max="14" width="14.140625" style="4" bestFit="1" customWidth="1"/>
    <col min="15" max="15" width="10" style="4" customWidth="1"/>
    <col min="16" max="16" width="5.7109375" style="4" customWidth="1"/>
    <col min="17" max="17" width="15.7109375" style="4" customWidth="1"/>
    <col min="18" max="18" width="13.7109375" style="4" customWidth="1"/>
    <col min="19" max="19" width="18.28515625" style="4" bestFit="1" customWidth="1"/>
    <col min="20" max="20" width="10" style="4" bestFit="1" customWidth="1"/>
    <col min="21" max="22" width="4.7109375" style="81" customWidth="1"/>
    <col min="23" max="23" width="4.5703125" style="81" bestFit="1" customWidth="1"/>
    <col min="24" max="40" width="4.7109375" style="81" customWidth="1"/>
    <col min="41" max="16384" width="8.85546875" style="4"/>
  </cols>
  <sheetData>
    <row r="1" spans="1:41" ht="18.75">
      <c r="A1" s="1"/>
      <c r="B1" s="228" t="s">
        <v>155</v>
      </c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"/>
      <c r="N1" s="3"/>
      <c r="O1" s="2"/>
      <c r="P1" s="73"/>
      <c r="Q1" s="213" t="s">
        <v>157</v>
      </c>
      <c r="R1" s="214"/>
      <c r="S1" s="110" t="str">
        <f>+B6</f>
        <v>2N2222A</v>
      </c>
      <c r="T1" s="2"/>
      <c r="U1" s="2"/>
      <c r="V1" s="214" t="s">
        <v>166</v>
      </c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5"/>
    </row>
    <row r="2" spans="1:41" ht="16.5" thickBot="1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74"/>
      <c r="Q2" s="5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7"/>
    </row>
    <row r="3" spans="1:41" ht="16.5" thickBot="1">
      <c r="A3" s="5"/>
      <c r="B3" s="201" t="s">
        <v>49</v>
      </c>
      <c r="C3" s="202"/>
      <c r="D3" s="202"/>
      <c r="E3" s="202"/>
      <c r="F3" s="202"/>
      <c r="G3" s="235"/>
      <c r="H3" s="201" t="s">
        <v>226</v>
      </c>
      <c r="I3" s="202"/>
      <c r="J3" s="202"/>
      <c r="K3" s="202"/>
      <c r="L3" s="235"/>
      <c r="M3" s="233" t="s">
        <v>48</v>
      </c>
      <c r="N3" s="233"/>
      <c r="O3" s="233"/>
      <c r="P3" s="234"/>
      <c r="Q3" s="212" t="s">
        <v>118</v>
      </c>
      <c r="R3" s="209"/>
      <c r="S3" s="209"/>
      <c r="T3" s="6"/>
      <c r="U3" s="174" t="s">
        <v>165</v>
      </c>
      <c r="V3" s="183">
        <f>+$C$6</f>
        <v>205</v>
      </c>
      <c r="W3" s="244" t="str">
        <f>+$S$1</f>
        <v>2N2222A</v>
      </c>
      <c r="X3" s="244"/>
      <c r="Y3" s="184"/>
      <c r="Z3" s="185"/>
      <c r="AA3" s="198" t="s">
        <v>18</v>
      </c>
      <c r="AB3" s="198"/>
      <c r="AC3" s="198"/>
      <c r="AD3" s="198"/>
      <c r="AE3" s="198"/>
      <c r="AF3" s="198"/>
      <c r="AG3" s="198"/>
      <c r="AH3" s="198"/>
      <c r="AI3" s="198"/>
      <c r="AJ3" s="198"/>
      <c r="AK3" s="198"/>
      <c r="AL3" s="79"/>
      <c r="AM3" s="79"/>
      <c r="AN3" s="7"/>
    </row>
    <row r="4" spans="1:41" ht="15.75">
      <c r="A4" s="5"/>
      <c r="B4" s="238" t="str">
        <f>CONCATENATE("Find ẞ = hfe ved en IC på ", J10,G10," og VCE på ",J16,E16)</f>
        <v>Find ẞ = hfe ved en IC på 5 mA og VCE på 4 V</v>
      </c>
      <c r="C4" s="239"/>
      <c r="D4" s="239"/>
      <c r="E4" s="240"/>
      <c r="F4" s="47" t="s">
        <v>5</v>
      </c>
      <c r="G4" s="146" t="s">
        <v>8</v>
      </c>
      <c r="H4" s="47" t="s">
        <v>50</v>
      </c>
      <c r="I4" s="145" t="s">
        <v>12</v>
      </c>
      <c r="J4" s="145" t="s">
        <v>111</v>
      </c>
      <c r="K4" s="241" t="s">
        <v>82</v>
      </c>
      <c r="L4" s="242"/>
      <c r="M4" s="252"/>
      <c r="N4" s="253"/>
      <c r="O4" s="253"/>
      <c r="P4" s="7"/>
      <c r="Q4" s="212" t="s">
        <v>139</v>
      </c>
      <c r="R4" s="209"/>
      <c r="S4" s="209"/>
      <c r="T4" s="6"/>
      <c r="U4" s="186" t="s">
        <v>211</v>
      </c>
      <c r="V4" s="187">
        <f>+F36</f>
        <v>4.4038435744115887</v>
      </c>
      <c r="W4" s="34" t="s">
        <v>246</v>
      </c>
      <c r="X4" s="161"/>
      <c r="Y4" s="244" t="str">
        <f>+$S$1</f>
        <v>2N2222A</v>
      </c>
      <c r="Z4" s="244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7"/>
    </row>
    <row r="5" spans="1:41" ht="15.75">
      <c r="A5" s="5"/>
      <c r="B5" s="236" t="s">
        <v>75</v>
      </c>
      <c r="C5" s="237"/>
      <c r="D5" s="144" t="s">
        <v>143</v>
      </c>
      <c r="E5" s="46" t="s">
        <v>144</v>
      </c>
      <c r="F5" s="143" t="s">
        <v>6</v>
      </c>
      <c r="G5" s="46" t="s">
        <v>43</v>
      </c>
      <c r="H5" s="143" t="s">
        <v>227</v>
      </c>
      <c r="I5" s="144" t="s">
        <v>1</v>
      </c>
      <c r="J5" s="144" t="s">
        <v>43</v>
      </c>
      <c r="K5" s="144" t="s">
        <v>24</v>
      </c>
      <c r="L5" s="46" t="s">
        <v>26</v>
      </c>
      <c r="M5" s="231" t="s">
        <v>46</v>
      </c>
      <c r="N5" s="231"/>
      <c r="O5" s="231"/>
      <c r="P5" s="7"/>
      <c r="Q5" s="224" t="s">
        <v>112</v>
      </c>
      <c r="R5" s="225"/>
      <c r="S5" s="225"/>
      <c r="T5" s="6"/>
      <c r="U5" s="161" t="s">
        <v>211</v>
      </c>
      <c r="V5" s="188">
        <f>+'2N2222A'!J45</f>
        <v>4.4208999999999996</v>
      </c>
      <c r="W5" s="34" t="s">
        <v>251</v>
      </c>
      <c r="X5" s="161"/>
      <c r="Y5" s="161"/>
      <c r="Z5" s="34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7"/>
    </row>
    <row r="6" spans="1:41" ht="19.5" thickBot="1">
      <c r="A6" s="5"/>
      <c r="B6" s="48" t="s">
        <v>249</v>
      </c>
      <c r="C6" s="78">
        <f>INT(SQRT(D6*E6))</f>
        <v>205</v>
      </c>
      <c r="D6" s="49">
        <v>205</v>
      </c>
      <c r="E6" s="50">
        <v>205</v>
      </c>
      <c r="F6" s="48">
        <v>10</v>
      </c>
      <c r="G6" s="50">
        <v>1</v>
      </c>
      <c r="H6" s="48">
        <v>0.7</v>
      </c>
      <c r="I6" s="119">
        <v>1</v>
      </c>
      <c r="J6" s="49">
        <v>10</v>
      </c>
      <c r="K6" s="49">
        <v>100</v>
      </c>
      <c r="L6" s="50">
        <v>30000</v>
      </c>
      <c r="M6" s="232" t="s">
        <v>47</v>
      </c>
      <c r="N6" s="232"/>
      <c r="O6" s="232"/>
      <c r="P6" s="7"/>
      <c r="Q6" s="87" t="s">
        <v>108</v>
      </c>
      <c r="R6" s="88">
        <f>+I27</f>
        <v>31</v>
      </c>
      <c r="S6" s="89" t="str">
        <f>+J27</f>
        <v xml:space="preserve"> kΩ</v>
      </c>
      <c r="T6" s="6"/>
      <c r="U6" s="161" t="s">
        <v>211</v>
      </c>
      <c r="V6" s="188">
        <f>+BC547B!J45</f>
        <v>2.9064000000000001</v>
      </c>
      <c r="W6" s="34" t="s">
        <v>252</v>
      </c>
      <c r="X6" s="161"/>
      <c r="Y6" s="161"/>
      <c r="Z6" s="34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7"/>
    </row>
    <row r="7" spans="1:41" ht="15.75">
      <c r="A7" s="5"/>
      <c r="B7" s="9" t="s">
        <v>18</v>
      </c>
      <c r="C7" s="6"/>
      <c r="D7" s="6"/>
      <c r="E7" s="6"/>
      <c r="F7" s="6"/>
      <c r="G7" s="141"/>
      <c r="H7" s="6"/>
      <c r="I7" s="141"/>
      <c r="J7" s="141"/>
      <c r="K7" s="211"/>
      <c r="L7" s="211"/>
      <c r="M7" s="6"/>
      <c r="N7" s="6"/>
      <c r="O7" s="6"/>
      <c r="P7" s="7"/>
      <c r="Q7" s="87" t="s">
        <v>109</v>
      </c>
      <c r="R7" s="88">
        <f>+I24</f>
        <v>7</v>
      </c>
      <c r="S7" s="89" t="str">
        <f>+J24</f>
        <v xml:space="preserve"> kΩ</v>
      </c>
      <c r="T7" s="6"/>
      <c r="U7" s="8"/>
      <c r="V7" s="8"/>
      <c r="W7" s="8"/>
      <c r="X7" s="8"/>
      <c r="Y7" s="8"/>
      <c r="Z7" s="8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7"/>
    </row>
    <row r="8" spans="1:41" ht="15.75">
      <c r="A8" s="5"/>
      <c r="B8" s="6" t="s">
        <v>208</v>
      </c>
      <c r="C8" s="6"/>
      <c r="D8" s="6"/>
      <c r="E8" s="6"/>
      <c r="F8" s="6"/>
      <c r="G8" s="141"/>
      <c r="H8" s="168">
        <v>205</v>
      </c>
      <c r="I8" s="141" t="s">
        <v>209</v>
      </c>
      <c r="J8" s="168" t="s">
        <v>250</v>
      </c>
      <c r="K8" s="141"/>
      <c r="L8" s="141"/>
      <c r="M8" s="6"/>
      <c r="N8" s="6"/>
      <c r="O8" s="6"/>
      <c r="P8" s="7"/>
      <c r="Q8" s="87" t="s">
        <v>110</v>
      </c>
      <c r="R8" s="89">
        <f>+G6</f>
        <v>1</v>
      </c>
      <c r="S8" s="89" t="str">
        <f>+G5</f>
        <v xml:space="preserve"> kΩ</v>
      </c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7"/>
      <c r="AO8" s="72"/>
    </row>
    <row r="9" spans="1:41" ht="15.75">
      <c r="A9" s="5"/>
      <c r="B9" s="11" t="s">
        <v>213</v>
      </c>
      <c r="C9" s="11"/>
      <c r="D9" s="11"/>
      <c r="E9" s="11"/>
      <c r="F9" s="11"/>
      <c r="G9" s="11"/>
      <c r="H9" s="11"/>
      <c r="I9" s="11"/>
      <c r="J9" s="11"/>
      <c r="K9" s="141"/>
      <c r="L9" s="141"/>
      <c r="M9" s="6"/>
      <c r="N9" s="6"/>
      <c r="O9" s="6"/>
      <c r="P9" s="7"/>
      <c r="Q9" s="87" t="s">
        <v>119</v>
      </c>
      <c r="R9" s="88">
        <f>+I28</f>
        <v>199</v>
      </c>
      <c r="S9" s="89" t="str">
        <f>+J28</f>
        <v xml:space="preserve"> Ω</v>
      </c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7"/>
      <c r="AO9" s="72"/>
    </row>
    <row r="10" spans="1:41" ht="15.75">
      <c r="A10" s="5"/>
      <c r="B10" s="200" t="s">
        <v>94</v>
      </c>
      <c r="C10" s="200"/>
      <c r="D10" s="141">
        <f>(F6/2)/(G6*1000)</f>
        <v>5.0000000000000001E-3</v>
      </c>
      <c r="E10" s="141" t="s">
        <v>146</v>
      </c>
      <c r="F10" s="102">
        <f>D10*1000</f>
        <v>5</v>
      </c>
      <c r="G10" s="103" t="s">
        <v>88</v>
      </c>
      <c r="H10" s="6" t="s">
        <v>168</v>
      </c>
      <c r="I10" s="82"/>
      <c r="J10" s="197">
        <f>ROUND(F10,0)</f>
        <v>5</v>
      </c>
      <c r="K10" s="6"/>
      <c r="L10" s="6"/>
      <c r="M10" s="6"/>
      <c r="N10" s="6"/>
      <c r="O10" s="6"/>
      <c r="P10" s="7"/>
      <c r="Q10" s="87" t="s">
        <v>116</v>
      </c>
      <c r="R10" s="88">
        <f>+I73</f>
        <v>801</v>
      </c>
      <c r="S10" s="89" t="str">
        <f>+J73</f>
        <v xml:space="preserve"> Ω</v>
      </c>
      <c r="T10" s="6"/>
      <c r="U10" s="6"/>
      <c r="V10" s="6"/>
      <c r="W10" s="6"/>
      <c r="X10" s="6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7"/>
      <c r="AO10" s="72"/>
    </row>
    <row r="11" spans="1:41" ht="15.75">
      <c r="A11" s="5"/>
      <c r="B11" s="200" t="s">
        <v>95</v>
      </c>
      <c r="C11" s="200"/>
      <c r="D11" s="141">
        <f>D10/C6</f>
        <v>2.4390243902439026E-5</v>
      </c>
      <c r="E11" s="141" t="s">
        <v>146</v>
      </c>
      <c r="F11" s="105">
        <f>D11*1000</f>
        <v>2.4390243902439025E-2</v>
      </c>
      <c r="G11" s="103" t="s">
        <v>88</v>
      </c>
      <c r="H11" s="6" t="s">
        <v>7</v>
      </c>
      <c r="I11" s="83"/>
      <c r="J11" s="82"/>
      <c r="K11" s="6"/>
      <c r="L11" s="6"/>
      <c r="M11" s="6"/>
      <c r="N11" s="6"/>
      <c r="O11" s="6"/>
      <c r="P11" s="7"/>
      <c r="Q11" s="87" t="s">
        <v>111</v>
      </c>
      <c r="R11" s="89">
        <f>+J6</f>
        <v>10</v>
      </c>
      <c r="S11" s="89" t="str">
        <f>+J5</f>
        <v xml:space="preserve"> kΩ</v>
      </c>
      <c r="T11" s="6"/>
      <c r="U11" s="6"/>
      <c r="V11" s="6"/>
      <c r="W11" s="6"/>
      <c r="X11" s="6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7"/>
      <c r="AO11" s="72"/>
    </row>
    <row r="12" spans="1:41" ht="15.75">
      <c r="A12" s="5"/>
      <c r="B12" s="200" t="s">
        <v>212</v>
      </c>
      <c r="C12" s="200"/>
      <c r="D12" s="6">
        <f>D10+D11</f>
        <v>5.0243902439024392E-3</v>
      </c>
      <c r="E12" s="141" t="s">
        <v>146</v>
      </c>
      <c r="F12" s="105">
        <f>D12*1000</f>
        <v>5.024390243902439</v>
      </c>
      <c r="G12" s="103" t="s">
        <v>88</v>
      </c>
      <c r="H12" s="6" t="s">
        <v>13</v>
      </c>
      <c r="I12" s="82"/>
      <c r="J12" s="82"/>
      <c r="K12" s="219" t="s">
        <v>210</v>
      </c>
      <c r="L12" s="220"/>
      <c r="M12" s="220"/>
      <c r="N12" s="220"/>
      <c r="O12" s="221"/>
      <c r="P12" s="133"/>
      <c r="Q12" s="224" t="s">
        <v>113</v>
      </c>
      <c r="R12" s="225"/>
      <c r="S12" s="225"/>
      <c r="T12" s="6"/>
      <c r="U12" s="6"/>
      <c r="V12" s="6"/>
      <c r="W12" s="6"/>
      <c r="X12" s="6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7"/>
      <c r="AO12" s="72"/>
    </row>
    <row r="13" spans="1:41" ht="15.75">
      <c r="A13" s="5"/>
      <c r="B13" s="137" t="s">
        <v>229</v>
      </c>
      <c r="C13" s="137"/>
      <c r="D13" s="148">
        <f>I6/(D28+F73)</f>
        <v>1E-3</v>
      </c>
      <c r="E13" s="141" t="s">
        <v>146</v>
      </c>
      <c r="F13" s="105">
        <f>D13*1000</f>
        <v>1</v>
      </c>
      <c r="G13" s="103" t="s">
        <v>88</v>
      </c>
      <c r="H13" s="6" t="s">
        <v>217</v>
      </c>
      <c r="I13" s="82"/>
      <c r="J13" s="82"/>
      <c r="K13" s="6"/>
      <c r="L13" s="6"/>
      <c r="M13" s="6"/>
      <c r="N13" s="6"/>
      <c r="O13" s="6"/>
      <c r="P13" s="7"/>
      <c r="Q13" s="87" t="s">
        <v>120</v>
      </c>
      <c r="R13" s="88">
        <f>+I48</f>
        <v>80</v>
      </c>
      <c r="S13" s="89" t="str">
        <f>+J48</f>
        <v xml:space="preserve"> uF</v>
      </c>
      <c r="T13" s="6"/>
      <c r="U13" s="6"/>
      <c r="V13" s="6"/>
      <c r="W13" s="6"/>
      <c r="X13" s="6"/>
      <c r="Y13" s="173"/>
      <c r="Z13" s="173"/>
      <c r="AA13" s="173"/>
      <c r="AB13" s="216" t="str">
        <f>CONCATENATE(R6,S6)</f>
        <v>31 kΩ</v>
      </c>
      <c r="AC13" s="216"/>
      <c r="AD13" s="173"/>
      <c r="AE13" s="173"/>
      <c r="AF13" s="216" t="str">
        <f>CONCATENATE(R8,S8)</f>
        <v>1 kΩ</v>
      </c>
      <c r="AG13" s="217"/>
      <c r="AH13" s="173"/>
      <c r="AI13" s="173"/>
      <c r="AJ13" s="173"/>
      <c r="AK13" s="173"/>
      <c r="AL13" s="173"/>
      <c r="AM13" s="6"/>
      <c r="AN13" s="7"/>
      <c r="AO13" s="72"/>
    </row>
    <row r="14" spans="1:41" ht="15.75">
      <c r="A14" s="5"/>
      <c r="B14" s="137"/>
      <c r="C14" s="137"/>
      <c r="D14" s="148"/>
      <c r="E14" s="141"/>
      <c r="F14" s="105"/>
      <c r="G14" s="103"/>
      <c r="H14" s="6"/>
      <c r="I14" s="82"/>
      <c r="J14" s="82"/>
      <c r="K14" s="6"/>
      <c r="L14" s="6"/>
      <c r="M14" s="6"/>
      <c r="N14" s="6"/>
      <c r="O14" s="6"/>
      <c r="P14" s="7"/>
      <c r="Q14" s="87" t="s">
        <v>121</v>
      </c>
      <c r="R14" s="88">
        <f>+I81</f>
        <v>20</v>
      </c>
      <c r="S14" s="89" t="str">
        <f>+J81</f>
        <v xml:space="preserve"> uF</v>
      </c>
      <c r="T14" s="6"/>
      <c r="U14" s="6"/>
      <c r="V14" s="6"/>
      <c r="W14" s="6"/>
      <c r="X14" s="6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6"/>
      <c r="AN14" s="7"/>
      <c r="AO14" s="72"/>
    </row>
    <row r="15" spans="1:41" ht="15.75">
      <c r="A15" s="5"/>
      <c r="B15" s="137" t="s">
        <v>97</v>
      </c>
      <c r="C15" s="137"/>
      <c r="D15" s="21">
        <f>F10*G6</f>
        <v>5</v>
      </c>
      <c r="E15" s="141" t="s">
        <v>102</v>
      </c>
      <c r="F15" s="164" t="s">
        <v>218</v>
      </c>
      <c r="G15" s="12"/>
      <c r="H15" s="6"/>
      <c r="I15" s="82"/>
      <c r="J15" s="148"/>
      <c r="K15" s="6"/>
      <c r="L15" s="6"/>
      <c r="M15" s="6"/>
      <c r="N15" s="6"/>
      <c r="O15" s="6"/>
      <c r="P15" s="7"/>
      <c r="Q15" s="224" t="s">
        <v>115</v>
      </c>
      <c r="R15" s="225"/>
      <c r="S15" s="225"/>
      <c r="T15" s="6"/>
      <c r="U15" s="6"/>
      <c r="V15" s="6"/>
      <c r="W15" s="6"/>
      <c r="X15" s="6"/>
      <c r="Y15" s="173"/>
      <c r="Z15" s="173"/>
      <c r="AA15" s="173"/>
      <c r="AB15" s="218" t="str">
        <f>+B6</f>
        <v>2N2222A</v>
      </c>
      <c r="AC15" s="218"/>
      <c r="AD15" s="173"/>
      <c r="AE15" s="173"/>
      <c r="AF15" s="173"/>
      <c r="AG15" s="173"/>
      <c r="AH15" s="173"/>
      <c r="AI15" s="173"/>
      <c r="AJ15" s="173"/>
      <c r="AK15" s="173"/>
      <c r="AL15" s="173"/>
      <c r="AM15" s="6"/>
      <c r="AN15" s="7"/>
      <c r="AO15" s="72"/>
    </row>
    <row r="16" spans="1:41" ht="15.75">
      <c r="A16" s="5"/>
      <c r="B16" s="6" t="s">
        <v>76</v>
      </c>
      <c r="C16" s="6"/>
      <c r="D16" s="16">
        <f>F6-I6-(G6*1000*D10)</f>
        <v>4</v>
      </c>
      <c r="E16" s="141" t="s">
        <v>102</v>
      </c>
      <c r="F16" s="53" t="s">
        <v>219</v>
      </c>
      <c r="G16" s="10"/>
      <c r="H16" s="6"/>
      <c r="I16" s="82"/>
      <c r="J16" s="197">
        <f>ROUND(D16,0)</f>
        <v>4</v>
      </c>
      <c r="K16" s="147"/>
      <c r="L16" s="6"/>
      <c r="M16" s="6"/>
      <c r="N16" s="141"/>
      <c r="O16" s="141"/>
      <c r="P16" s="75"/>
      <c r="Q16" s="87" t="s">
        <v>127</v>
      </c>
      <c r="R16" s="90">
        <f>+I93</f>
        <v>1.68</v>
      </c>
      <c r="S16" s="89" t="str">
        <f>+J93</f>
        <v xml:space="preserve">  uF</v>
      </c>
      <c r="T16" s="6"/>
      <c r="U16" s="6"/>
      <c r="V16" s="6"/>
      <c r="W16" s="11"/>
      <c r="X16" s="11"/>
      <c r="Y16" s="173"/>
      <c r="Z16" s="173"/>
      <c r="AA16" s="173"/>
      <c r="AB16" s="173"/>
      <c r="AC16" s="173"/>
      <c r="AD16" s="173"/>
      <c r="AE16" s="173"/>
      <c r="AF16" s="8"/>
      <c r="AG16" s="247" t="str">
        <f>CONCATENATE(R17,S17)</f>
        <v>0,16  uF</v>
      </c>
      <c r="AH16" s="247"/>
      <c r="AI16" s="173"/>
      <c r="AJ16" s="173"/>
      <c r="AK16" s="173"/>
      <c r="AL16" s="173"/>
      <c r="AM16" s="6"/>
      <c r="AN16" s="7"/>
      <c r="AO16" s="72"/>
    </row>
    <row r="17" spans="1:41" ht="15.75">
      <c r="A17" s="5"/>
      <c r="B17" s="6" t="s">
        <v>98</v>
      </c>
      <c r="C17" s="6"/>
      <c r="D17" s="16">
        <f>+I6</f>
        <v>1</v>
      </c>
      <c r="E17" s="141" t="s">
        <v>102</v>
      </c>
      <c r="F17" s="137" t="s">
        <v>99</v>
      </c>
      <c r="G17" s="10"/>
      <c r="H17" s="6"/>
      <c r="I17" s="82"/>
      <c r="J17" s="82"/>
      <c r="K17" s="147"/>
      <c r="L17" s="6"/>
      <c r="M17" s="6"/>
      <c r="N17" s="141"/>
      <c r="O17" s="141"/>
      <c r="P17" s="75"/>
      <c r="Q17" s="87" t="s">
        <v>128</v>
      </c>
      <c r="R17" s="90">
        <f>+I100</f>
        <v>0.16</v>
      </c>
      <c r="S17" s="89" t="str">
        <f>+J100</f>
        <v xml:space="preserve">  uF</v>
      </c>
      <c r="T17" s="6"/>
      <c r="U17" s="6"/>
      <c r="V17" s="6"/>
      <c r="W17" s="6"/>
      <c r="X17" s="6"/>
      <c r="Y17" s="173"/>
      <c r="Z17" s="173"/>
      <c r="AA17" s="173"/>
      <c r="AB17" s="173"/>
      <c r="AC17" s="173"/>
      <c r="AD17" s="173"/>
      <c r="AE17" s="173"/>
      <c r="AF17" s="173"/>
      <c r="AG17" s="171"/>
      <c r="AH17" s="172"/>
      <c r="AI17" s="173"/>
      <c r="AJ17" s="173"/>
      <c r="AK17" s="173"/>
      <c r="AL17" s="173"/>
      <c r="AM17" s="6"/>
      <c r="AN17" s="7"/>
      <c r="AO17" s="72"/>
    </row>
    <row r="18" spans="1:41">
      <c r="A18" s="5"/>
      <c r="B18" s="6" t="s">
        <v>107</v>
      </c>
      <c r="C18" s="6"/>
      <c r="D18" s="16">
        <f>SUM(D15:D17)</f>
        <v>10</v>
      </c>
      <c r="E18" s="141" t="s">
        <v>102</v>
      </c>
      <c r="F18" s="137" t="str">
        <f>IF(D18=F6,"Korrekt","Fejl")</f>
        <v>Korrekt</v>
      </c>
      <c r="G18" s="10"/>
      <c r="H18" s="6"/>
      <c r="I18" s="82"/>
      <c r="J18" s="82"/>
      <c r="K18" s="147"/>
      <c r="L18" s="6"/>
      <c r="M18" s="6"/>
      <c r="N18" s="141"/>
      <c r="O18" s="141"/>
      <c r="P18" s="75"/>
      <c r="Q18" s="8"/>
      <c r="R18" s="8"/>
      <c r="S18" s="8"/>
      <c r="T18" s="6"/>
      <c r="U18" s="6"/>
      <c r="V18" s="6"/>
      <c r="W18" s="6"/>
      <c r="X18" s="6"/>
      <c r="Y18" s="247" t="str">
        <f>CONCATENATE(R16,S16)</f>
        <v>1,68  uF</v>
      </c>
      <c r="Z18" s="247"/>
      <c r="AA18" s="173"/>
      <c r="AB18" s="173"/>
      <c r="AC18" s="173"/>
      <c r="AD18" s="173"/>
      <c r="AE18" s="173"/>
      <c r="AF18" s="173"/>
      <c r="AG18" s="173"/>
      <c r="AH18" s="173"/>
      <c r="AI18" s="173"/>
      <c r="AJ18" s="173"/>
      <c r="AK18" s="8"/>
      <c r="AL18" s="247" t="str">
        <f>CONCATENATE(F6,F5)</f>
        <v>10 Volt</v>
      </c>
      <c r="AM18" s="247"/>
      <c r="AN18" s="7"/>
      <c r="AO18" s="72"/>
    </row>
    <row r="19" spans="1:41">
      <c r="A19" s="5"/>
      <c r="B19" s="6" t="s">
        <v>100</v>
      </c>
      <c r="C19" s="6"/>
      <c r="D19" s="6">
        <f>+H6</f>
        <v>0.7</v>
      </c>
      <c r="E19" s="141" t="s">
        <v>102</v>
      </c>
      <c r="F19" s="137" t="s">
        <v>101</v>
      </c>
      <c r="G19" s="6"/>
      <c r="H19" s="6"/>
      <c r="I19" s="6"/>
      <c r="J19" s="82"/>
      <c r="K19" s="6"/>
      <c r="L19" s="6"/>
      <c r="M19" s="6"/>
      <c r="N19" s="141"/>
      <c r="O19" s="141"/>
      <c r="P19" s="75"/>
      <c r="Q19" s="226" t="s">
        <v>158</v>
      </c>
      <c r="R19" s="227"/>
      <c r="S19" s="227"/>
      <c r="T19" s="6"/>
      <c r="U19" s="6"/>
      <c r="V19" s="6"/>
      <c r="W19" s="6"/>
      <c r="X19" s="6"/>
      <c r="Y19" s="189"/>
      <c r="Z19" s="189"/>
      <c r="AA19" s="173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89"/>
      <c r="AM19" s="8"/>
      <c r="AN19" s="7"/>
      <c r="AO19" s="72"/>
    </row>
    <row r="20" spans="1:41" ht="15.75">
      <c r="A20" s="5"/>
      <c r="B20" s="200" t="s">
        <v>9</v>
      </c>
      <c r="C20" s="200"/>
      <c r="D20" s="70">
        <f>I6+H6</f>
        <v>1.7</v>
      </c>
      <c r="E20" s="141" t="s">
        <v>102</v>
      </c>
      <c r="F20" s="6"/>
      <c r="G20" s="6"/>
      <c r="H20" s="6"/>
      <c r="I20" s="6"/>
      <c r="J20" s="34"/>
      <c r="K20" s="71"/>
      <c r="L20" s="71"/>
      <c r="M20" s="71"/>
      <c r="N20" s="71"/>
      <c r="O20" s="71"/>
      <c r="P20" s="7"/>
      <c r="Q20" s="8">
        <v>0.1</v>
      </c>
      <c r="R20" s="21"/>
      <c r="S20" s="6"/>
      <c r="T20" s="6"/>
      <c r="U20" s="6"/>
      <c r="V20" s="6"/>
      <c r="W20" s="6"/>
      <c r="X20" s="6"/>
      <c r="Y20" s="173"/>
      <c r="Z20" s="173"/>
      <c r="AA20" s="173"/>
      <c r="AB20" s="173"/>
      <c r="AC20" s="173"/>
      <c r="AD20" s="173"/>
      <c r="AE20" s="173"/>
      <c r="AF20" s="173"/>
      <c r="AG20" s="173"/>
      <c r="AH20" s="173"/>
      <c r="AI20" s="173"/>
      <c r="AJ20" s="173"/>
      <c r="AK20" s="173"/>
      <c r="AL20" s="173"/>
      <c r="AM20" s="6"/>
      <c r="AN20" s="7"/>
      <c r="AO20" s="72"/>
    </row>
    <row r="21" spans="1:41" ht="15.75" thickBot="1">
      <c r="A21" s="5"/>
      <c r="B21" s="6"/>
      <c r="C21" s="6"/>
      <c r="D21" s="6"/>
      <c r="E21" s="6"/>
      <c r="F21" s="6"/>
      <c r="G21" s="6"/>
      <c r="H21" s="243" t="s">
        <v>83</v>
      </c>
      <c r="I21" s="243"/>
      <c r="J21" s="243"/>
      <c r="K21" s="243"/>
      <c r="L21" s="6"/>
      <c r="M21" s="6"/>
      <c r="N21" s="6"/>
      <c r="O21" s="6"/>
      <c r="P21" s="7"/>
      <c r="Q21" s="5">
        <v>0.2</v>
      </c>
      <c r="R21" s="6" t="s">
        <v>160</v>
      </c>
      <c r="S21" s="6"/>
      <c r="T21" s="6"/>
      <c r="U21" s="6"/>
      <c r="V21" s="6"/>
      <c r="W21" s="6"/>
      <c r="X21" s="6"/>
      <c r="Y21" s="173"/>
      <c r="Z21" s="173"/>
      <c r="AA21" s="173"/>
      <c r="AB21" s="216" t="str">
        <f>CONCATENATE(R7,S7)</f>
        <v>7 kΩ</v>
      </c>
      <c r="AC21" s="216"/>
      <c r="AD21" s="173"/>
      <c r="AE21" s="173"/>
      <c r="AF21" s="216" t="str">
        <f>CONCATENATE(R9,S9)</f>
        <v>199 Ω</v>
      </c>
      <c r="AG21" s="216"/>
      <c r="AH21" s="173"/>
      <c r="AI21" s="173"/>
      <c r="AJ21" s="216" t="str">
        <f>CONCATENATE(R11,S11)</f>
        <v>10 kΩ</v>
      </c>
      <c r="AK21" s="216"/>
      <c r="AL21" s="173"/>
      <c r="AM21" s="6"/>
      <c r="AN21" s="7"/>
      <c r="AO21" s="72"/>
    </row>
    <row r="22" spans="1:41" ht="16.5" thickBot="1">
      <c r="A22" s="5"/>
      <c r="B22" s="205" t="s">
        <v>54</v>
      </c>
      <c r="C22" s="205"/>
      <c r="D22" s="205"/>
      <c r="E22" s="205"/>
      <c r="F22" s="205"/>
      <c r="G22" s="205"/>
      <c r="H22" s="6"/>
      <c r="I22" s="6"/>
      <c r="J22" s="6"/>
      <c r="K22" s="6"/>
      <c r="L22" s="201" t="s">
        <v>104</v>
      </c>
      <c r="M22" s="202"/>
      <c r="N22" s="52">
        <v>10</v>
      </c>
      <c r="O22" s="6"/>
      <c r="P22" s="7"/>
      <c r="Q22" s="8">
        <v>0.3</v>
      </c>
      <c r="R22" s="6" t="s">
        <v>160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7"/>
      <c r="AO22" s="72"/>
    </row>
    <row r="23" spans="1:41">
      <c r="A23" s="5"/>
      <c r="B23" s="6" t="s">
        <v>103</v>
      </c>
      <c r="C23" s="6"/>
      <c r="D23" s="6"/>
      <c r="E23" s="6"/>
      <c r="F23" s="58">
        <f>N22*F11</f>
        <v>0.24390243902439024</v>
      </c>
      <c r="G23" s="103" t="s">
        <v>0</v>
      </c>
      <c r="H23" s="6"/>
      <c r="I23" s="6"/>
      <c r="J23" s="6"/>
      <c r="K23" s="13"/>
      <c r="L23" s="206" t="s">
        <v>45</v>
      </c>
      <c r="M23" s="206"/>
      <c r="N23" s="206"/>
      <c r="O23" s="6"/>
      <c r="P23" s="7"/>
      <c r="Q23" s="5">
        <v>0.4</v>
      </c>
      <c r="R23" s="11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120"/>
      <c r="AG23" s="120"/>
      <c r="AH23" s="6"/>
      <c r="AI23" s="6"/>
      <c r="AJ23" s="6"/>
      <c r="AK23" s="6"/>
      <c r="AL23" s="6"/>
      <c r="AM23" s="6"/>
      <c r="AN23" s="7"/>
      <c r="AO23" s="72"/>
    </row>
    <row r="24" spans="1:41" ht="14.45" customHeight="1" thickBot="1">
      <c r="A24" s="5"/>
      <c r="B24" s="200" t="s">
        <v>10</v>
      </c>
      <c r="C24" s="200"/>
      <c r="D24" s="17">
        <f>D20/(F23*10^-3)</f>
        <v>6970</v>
      </c>
      <c r="E24" s="141" t="s">
        <v>2</v>
      </c>
      <c r="F24" s="58">
        <f>D24/1000</f>
        <v>6.97</v>
      </c>
      <c r="G24" s="19" t="s">
        <v>3</v>
      </c>
      <c r="H24" s="6"/>
      <c r="I24" s="60">
        <f>ROUND(F24,0)</f>
        <v>7</v>
      </c>
      <c r="J24" s="68" t="s">
        <v>35</v>
      </c>
      <c r="K24" s="56"/>
      <c r="L24" s="207"/>
      <c r="M24" s="207"/>
      <c r="N24" s="207"/>
      <c r="O24" s="18"/>
      <c r="P24" s="7"/>
      <c r="Q24" s="8">
        <v>0.5</v>
      </c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7"/>
      <c r="AO24" s="72"/>
    </row>
    <row r="25" spans="1:41" ht="16.5" thickBot="1">
      <c r="A25" s="5"/>
      <c r="B25" s="205" t="s">
        <v>55</v>
      </c>
      <c r="C25" s="205"/>
      <c r="D25" s="205"/>
      <c r="E25" s="205"/>
      <c r="F25" s="205"/>
      <c r="G25" s="205"/>
      <c r="H25" s="11"/>
      <c r="I25" s="22"/>
      <c r="J25" s="18"/>
      <c r="K25" s="56"/>
      <c r="L25" s="203" t="s">
        <v>106</v>
      </c>
      <c r="M25" s="204"/>
      <c r="N25" s="51">
        <v>11</v>
      </c>
      <c r="O25" s="18"/>
      <c r="P25" s="7"/>
      <c r="Q25" s="5">
        <v>0.6</v>
      </c>
      <c r="R25" s="6" t="s">
        <v>159</v>
      </c>
      <c r="S25" s="11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7"/>
      <c r="AO25" s="72"/>
    </row>
    <row r="26" spans="1:41" ht="15.75">
      <c r="A26" s="5"/>
      <c r="B26" s="200" t="s">
        <v>105</v>
      </c>
      <c r="C26" s="200"/>
      <c r="D26" s="6"/>
      <c r="E26" s="6"/>
      <c r="F26" s="58">
        <f>N25*F11</f>
        <v>0.26829268292682928</v>
      </c>
      <c r="G26" s="103" t="s">
        <v>0</v>
      </c>
      <c r="H26" s="11"/>
      <c r="I26" s="106"/>
      <c r="J26" s="107"/>
      <c r="K26" s="56"/>
      <c r="L26" s="6"/>
      <c r="M26" s="6"/>
      <c r="N26" s="6"/>
      <c r="O26" s="6"/>
      <c r="P26" s="7"/>
      <c r="Q26" s="8">
        <v>0.7</v>
      </c>
      <c r="R26" s="6" t="s">
        <v>159</v>
      </c>
      <c r="S26" s="6"/>
      <c r="T26" s="6"/>
      <c r="U26" s="6"/>
      <c r="V26" s="8"/>
      <c r="W26" s="79"/>
      <c r="X26" s="79"/>
      <c r="Y26" s="79"/>
      <c r="Z26" s="79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79"/>
      <c r="AM26" s="79"/>
      <c r="AN26" s="7"/>
      <c r="AO26" s="72"/>
    </row>
    <row r="27" spans="1:41">
      <c r="A27" s="5"/>
      <c r="B27" s="200" t="s">
        <v>11</v>
      </c>
      <c r="C27" s="200"/>
      <c r="D27" s="17">
        <f>(F6-D20)/(F26*10^-3)</f>
        <v>30936.363636363636</v>
      </c>
      <c r="E27" s="142" t="s">
        <v>4</v>
      </c>
      <c r="F27" s="58">
        <f>D27/1000</f>
        <v>30.936363636363637</v>
      </c>
      <c r="G27" s="19" t="s">
        <v>3</v>
      </c>
      <c r="H27" s="6"/>
      <c r="I27" s="60">
        <f>ROUND(F27,0)</f>
        <v>31</v>
      </c>
      <c r="J27" s="68" t="s">
        <v>35</v>
      </c>
      <c r="K27" s="56"/>
      <c r="L27" s="13"/>
      <c r="M27" s="6"/>
      <c r="N27" s="6"/>
      <c r="O27" s="6"/>
      <c r="P27" s="7"/>
      <c r="Q27" s="5">
        <v>0.8</v>
      </c>
      <c r="R27" s="6" t="s">
        <v>159</v>
      </c>
      <c r="S27" s="6"/>
      <c r="T27" s="6"/>
      <c r="U27" s="8"/>
      <c r="V27" s="8"/>
      <c r="W27" s="8"/>
      <c r="X27" s="8"/>
      <c r="Y27" s="8"/>
      <c r="Z27" s="8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7"/>
      <c r="AO27" s="72"/>
    </row>
    <row r="28" spans="1:41">
      <c r="A28" s="5"/>
      <c r="B28" s="200" t="s">
        <v>131</v>
      </c>
      <c r="C28" s="200"/>
      <c r="D28" s="23">
        <f>I6/(F12*10^-3)</f>
        <v>199.02912621359224</v>
      </c>
      <c r="E28" s="142" t="s">
        <v>4</v>
      </c>
      <c r="F28" s="58">
        <f>D28/1000</f>
        <v>0.19902912621359223</v>
      </c>
      <c r="G28" s="19" t="s">
        <v>3</v>
      </c>
      <c r="H28" s="6"/>
      <c r="I28" s="60">
        <f>ROUND(D28,0)</f>
        <v>199</v>
      </c>
      <c r="J28" s="67" t="s">
        <v>34</v>
      </c>
      <c r="K28" s="56"/>
      <c r="L28" s="25"/>
      <c r="M28" s="6"/>
      <c r="N28" s="6"/>
      <c r="O28" s="6"/>
      <c r="P28" s="7"/>
      <c r="Q28" s="8">
        <v>0.9</v>
      </c>
      <c r="R28" s="6" t="s">
        <v>159</v>
      </c>
      <c r="S28" s="6"/>
      <c r="T28" s="6"/>
      <c r="U28" s="8"/>
      <c r="V28" s="8"/>
      <c r="W28" s="8"/>
      <c r="X28" s="8"/>
      <c r="Y28" s="8"/>
      <c r="Z28" s="8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7"/>
      <c r="AO28" s="72"/>
    </row>
    <row r="29" spans="1:41" ht="15.75">
      <c r="A29" s="5"/>
      <c r="B29" s="6"/>
      <c r="C29" s="6"/>
      <c r="D29" s="6"/>
      <c r="E29" s="6"/>
      <c r="F29" s="6"/>
      <c r="G29" s="6"/>
      <c r="H29" s="6"/>
      <c r="I29" s="6"/>
      <c r="J29" s="6"/>
      <c r="K29" s="34"/>
      <c r="L29" s="6"/>
      <c r="M29" s="6"/>
      <c r="N29" s="6"/>
      <c r="O29" s="6"/>
      <c r="P29" s="7"/>
      <c r="Q29" s="111">
        <v>1</v>
      </c>
      <c r="R29" s="6"/>
      <c r="S29" s="6"/>
      <c r="T29" s="6"/>
      <c r="U29" s="174" t="s">
        <v>165</v>
      </c>
      <c r="V29" s="183">
        <f>+$C$6</f>
        <v>205</v>
      </c>
      <c r="W29" s="244" t="str">
        <f>+$S$1</f>
        <v>2N2222A</v>
      </c>
      <c r="X29" s="244"/>
      <c r="Y29" s="184"/>
      <c r="Z29" s="185"/>
      <c r="AA29" s="198" t="s">
        <v>15</v>
      </c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6"/>
      <c r="AM29" s="6"/>
      <c r="AN29" s="7"/>
      <c r="AO29" s="72"/>
    </row>
    <row r="30" spans="1:41">
      <c r="A30" s="5"/>
      <c r="B30" s="26" t="s">
        <v>214</v>
      </c>
      <c r="C30" s="26"/>
      <c r="D30" s="26"/>
      <c r="E30" s="27"/>
      <c r="F30" s="28"/>
      <c r="G30" s="28"/>
      <c r="H30" s="26"/>
      <c r="I30" s="26"/>
      <c r="J30" s="26"/>
      <c r="K30" s="26"/>
      <c r="L30" s="13"/>
      <c r="M30" s="6"/>
      <c r="N30" s="6"/>
      <c r="O30" s="6"/>
      <c r="P30" s="7"/>
      <c r="Q30" s="8"/>
      <c r="R30" s="8"/>
      <c r="S30" s="6"/>
      <c r="T30" s="6"/>
      <c r="U30" s="186" t="s">
        <v>211</v>
      </c>
      <c r="V30" s="190">
        <f>+F37</f>
        <v>162.54774174425938</v>
      </c>
      <c r="W30" s="34" t="s">
        <v>246</v>
      </c>
      <c r="X30" s="161"/>
      <c r="Y30" s="244" t="str">
        <f>+$S$1</f>
        <v>2N2222A</v>
      </c>
      <c r="Z30" s="244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7"/>
      <c r="AO30" s="72"/>
    </row>
    <row r="31" spans="1:41">
      <c r="A31" s="5"/>
      <c r="B31" s="26" t="s">
        <v>85</v>
      </c>
      <c r="C31" s="8"/>
      <c r="D31" s="8"/>
      <c r="E31" s="8"/>
      <c r="F31" s="104">
        <f>+F97</f>
        <v>0.99009900990099009</v>
      </c>
      <c r="G31" s="19" t="s">
        <v>3</v>
      </c>
      <c r="H31" s="26" t="s">
        <v>142</v>
      </c>
      <c r="I31" s="26"/>
      <c r="J31" s="26"/>
      <c r="K31" s="26"/>
      <c r="L31" s="13"/>
      <c r="M31" s="6"/>
      <c r="N31" s="6"/>
      <c r="O31" s="6"/>
      <c r="P31" s="7"/>
      <c r="Q31" s="8"/>
      <c r="R31" s="8"/>
      <c r="S31" s="6"/>
      <c r="T31" s="6"/>
      <c r="U31" s="161" t="s">
        <v>211</v>
      </c>
      <c r="V31" s="191">
        <f>+'2N2222A'!J93</f>
        <v>146.33000000000001</v>
      </c>
      <c r="W31" s="34" t="str">
        <f>+W5</f>
        <v>Default for 2N2222A i simulator program</v>
      </c>
      <c r="X31" s="161"/>
      <c r="Y31" s="161"/>
      <c r="Z31" s="34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7"/>
      <c r="AO31" s="72"/>
    </row>
    <row r="32" spans="1:41">
      <c r="A32" s="5"/>
      <c r="B32" s="11" t="s">
        <v>173</v>
      </c>
      <c r="C32" s="11"/>
      <c r="D32" s="11"/>
      <c r="E32" s="8"/>
      <c r="F32" s="64">
        <f>D28+F33</f>
        <v>204.57150343294674</v>
      </c>
      <c r="G32" s="65" t="s">
        <v>4</v>
      </c>
      <c r="H32" s="6" t="s">
        <v>228</v>
      </c>
      <c r="I32" s="6"/>
      <c r="J32" s="6"/>
      <c r="K32" s="34"/>
      <c r="L32" s="6"/>
      <c r="M32" s="6"/>
      <c r="N32" s="6"/>
      <c r="O32" s="6"/>
      <c r="P32" s="7"/>
      <c r="Q32" s="245" t="s">
        <v>192</v>
      </c>
      <c r="R32" s="246"/>
      <c r="S32" s="125">
        <f>S37/S44</f>
        <v>5.5423772193544938</v>
      </c>
      <c r="T32" s="126" t="s">
        <v>4</v>
      </c>
      <c r="U32" s="161" t="s">
        <v>211</v>
      </c>
      <c r="V32" s="191">
        <f>+BC547B!J93</f>
        <v>103.315</v>
      </c>
      <c r="W32" s="34" t="str">
        <f>+W6</f>
        <v>Default for BC547B i simulator program</v>
      </c>
      <c r="X32" s="161"/>
      <c r="Y32" s="161"/>
      <c r="Z32" s="34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7"/>
      <c r="AO32" s="72"/>
    </row>
    <row r="33" spans="1:41">
      <c r="A33" s="5"/>
      <c r="B33" s="6" t="s">
        <v>136</v>
      </c>
      <c r="C33" s="6"/>
      <c r="D33" s="6"/>
      <c r="E33" s="6" t="s">
        <v>186</v>
      </c>
      <c r="F33" s="58">
        <f>L33/F12</f>
        <v>5.5423772193544938</v>
      </c>
      <c r="G33" s="65" t="s">
        <v>4</v>
      </c>
      <c r="H33" s="11" t="s">
        <v>195</v>
      </c>
      <c r="I33" s="6"/>
      <c r="J33" s="6"/>
      <c r="K33" s="34"/>
      <c r="L33" s="130">
        <f>+S37</f>
        <v>27.847066028951847</v>
      </c>
      <c r="M33" s="11" t="s">
        <v>137</v>
      </c>
      <c r="N33" s="129" t="s">
        <v>201</v>
      </c>
      <c r="O33" s="6"/>
      <c r="P33" s="7"/>
      <c r="Q33" s="160"/>
      <c r="R33" s="161"/>
      <c r="S33" s="162"/>
      <c r="T33" s="163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7"/>
      <c r="AO33" s="72"/>
    </row>
    <row r="34" spans="1:41">
      <c r="A34" s="5"/>
      <c r="B34" s="11" t="s">
        <v>220</v>
      </c>
      <c r="C34" s="6"/>
      <c r="D34" s="6"/>
      <c r="E34" s="6"/>
      <c r="F34" s="125">
        <f>+D28+F35</f>
        <v>226.87619224254408</v>
      </c>
      <c r="G34" s="65" t="s">
        <v>4</v>
      </c>
      <c r="H34" s="11"/>
      <c r="I34" s="6"/>
      <c r="J34" s="6"/>
      <c r="K34" s="34"/>
      <c r="L34" s="165"/>
      <c r="M34" s="11"/>
      <c r="N34" s="129"/>
      <c r="O34" s="6"/>
      <c r="P34" s="7"/>
      <c r="Q34" s="160"/>
      <c r="R34" s="161"/>
      <c r="S34" s="162"/>
      <c r="T34" s="163"/>
      <c r="U34" s="6"/>
      <c r="V34" s="6"/>
      <c r="W34" s="6"/>
      <c r="X34" s="6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7"/>
      <c r="AO34" s="72"/>
    </row>
    <row r="35" spans="1:41">
      <c r="A35" s="5"/>
      <c r="B35" s="6" t="s">
        <v>215</v>
      </c>
      <c r="C35" s="6"/>
      <c r="D35" s="6"/>
      <c r="E35" s="6" t="s">
        <v>216</v>
      </c>
      <c r="F35" s="102">
        <f>L33/F13</f>
        <v>27.847066028951847</v>
      </c>
      <c r="G35" s="65" t="s">
        <v>4</v>
      </c>
      <c r="H35" s="11"/>
      <c r="I35" s="6"/>
      <c r="J35" s="6"/>
      <c r="K35" s="34"/>
      <c r="L35" s="137"/>
      <c r="M35" s="11"/>
      <c r="N35" s="6"/>
      <c r="O35" s="6"/>
      <c r="P35" s="7"/>
      <c r="Q35" s="222" t="s">
        <v>182</v>
      </c>
      <c r="R35" s="223"/>
      <c r="S35" s="223"/>
      <c r="T35" s="223"/>
      <c r="U35" s="6"/>
      <c r="V35" s="6"/>
      <c r="W35" s="6"/>
      <c r="X35" s="6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7"/>
      <c r="AO35" s="72"/>
    </row>
    <row r="36" spans="1:41" ht="14.45" customHeight="1">
      <c r="A36" s="5"/>
      <c r="B36" s="6" t="s">
        <v>221</v>
      </c>
      <c r="C36" s="6"/>
      <c r="D36" s="6"/>
      <c r="E36" s="108"/>
      <c r="F36" s="58">
        <f>((F31*J6)/(F31+J6))*1000/F32</f>
        <v>4.4038435744115887</v>
      </c>
      <c r="G36" s="167"/>
      <c r="H36" s="166" t="s">
        <v>223</v>
      </c>
      <c r="I36" s="8"/>
      <c r="J36" s="34"/>
      <c r="K36" s="34"/>
      <c r="L36" s="34"/>
      <c r="M36" s="208"/>
      <c r="N36" s="208"/>
      <c r="O36" s="6"/>
      <c r="P36" s="7"/>
      <c r="Q36" s="8"/>
      <c r="R36" s="8"/>
      <c r="S36" s="8"/>
      <c r="T36" s="8"/>
      <c r="U36" s="6"/>
      <c r="V36" s="6"/>
      <c r="W36" s="6"/>
      <c r="X36" s="6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7"/>
      <c r="AO36" s="72"/>
    </row>
    <row r="37" spans="1:41">
      <c r="A37" s="5"/>
      <c r="B37" s="6" t="s">
        <v>145</v>
      </c>
      <c r="C37" s="6"/>
      <c r="D37" s="6"/>
      <c r="E37" s="109"/>
      <c r="F37" s="57">
        <f>((F31*J6)/(F31+J6))*1000/F33</f>
        <v>162.54774174425938</v>
      </c>
      <c r="G37" s="167"/>
      <c r="H37" s="166" t="s">
        <v>224</v>
      </c>
      <c r="I37" s="8"/>
      <c r="J37" s="34"/>
      <c r="K37" s="34"/>
      <c r="L37" s="34"/>
      <c r="M37" s="208"/>
      <c r="N37" s="208"/>
      <c r="O37" s="6"/>
      <c r="P37" s="7"/>
      <c r="Q37" s="8" t="s">
        <v>197</v>
      </c>
      <c r="R37" s="8"/>
      <c r="S37" s="128">
        <f>(S43*S40)*1000</f>
        <v>27.847066028951847</v>
      </c>
      <c r="T37" s="8" t="s">
        <v>183</v>
      </c>
      <c r="U37" s="6"/>
      <c r="V37" s="6"/>
      <c r="W37" s="6"/>
      <c r="X37" s="6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7"/>
      <c r="AO37" s="72"/>
    </row>
    <row r="38" spans="1:41">
      <c r="A38" s="5"/>
      <c r="B38" s="6" t="s">
        <v>222</v>
      </c>
      <c r="C38" s="6"/>
      <c r="D38" s="30"/>
      <c r="E38" s="29"/>
      <c r="F38" s="58">
        <f>((F31*J6)/(F31+J6))*1000/F34</f>
        <v>3.9708921945312992</v>
      </c>
      <c r="G38" s="167"/>
      <c r="H38" s="166" t="s">
        <v>225</v>
      </c>
      <c r="I38" s="8"/>
      <c r="J38" s="6"/>
      <c r="K38" s="34"/>
      <c r="L38" s="6"/>
      <c r="M38" s="77"/>
      <c r="N38" s="77"/>
      <c r="O38" s="6"/>
      <c r="P38" s="7"/>
      <c r="Q38" s="8" t="s">
        <v>203</v>
      </c>
      <c r="R38" s="8"/>
      <c r="S38" s="8"/>
      <c r="T38" s="8"/>
      <c r="U38" s="6"/>
      <c r="V38" s="6"/>
      <c r="W38" s="6"/>
      <c r="X38" s="6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7"/>
      <c r="AO38" s="72"/>
    </row>
    <row r="39" spans="1:41">
      <c r="A39" s="5"/>
      <c r="B39" s="6"/>
      <c r="C39" s="6"/>
      <c r="D39" s="30"/>
      <c r="E39" s="29"/>
      <c r="F39" s="58"/>
      <c r="G39" s="142"/>
      <c r="H39" s="142"/>
      <c r="I39" s="82"/>
      <c r="J39" s="6"/>
      <c r="K39" s="34"/>
      <c r="L39" s="6"/>
      <c r="M39" s="77"/>
      <c r="N39" s="77"/>
      <c r="O39" s="6"/>
      <c r="P39" s="7"/>
      <c r="Q39" s="8" t="s">
        <v>193</v>
      </c>
      <c r="R39" s="8"/>
      <c r="S39" s="8" t="s">
        <v>187</v>
      </c>
      <c r="T39" s="8" t="s">
        <v>188</v>
      </c>
      <c r="U39" s="6"/>
      <c r="V39" s="6"/>
      <c r="W39" s="6"/>
      <c r="X39" s="6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7"/>
      <c r="AO39" s="72"/>
    </row>
    <row r="40" spans="1:41" ht="15.75" thickBot="1">
      <c r="A40" s="5"/>
      <c r="B40" s="6" t="s">
        <v>69</v>
      </c>
      <c r="C40" s="6"/>
      <c r="D40" s="6"/>
      <c r="E40" s="6"/>
      <c r="F40" s="6"/>
      <c r="G40" s="6"/>
      <c r="H40" s="6"/>
      <c r="I40" s="6"/>
      <c r="J40" s="6"/>
      <c r="K40" s="34"/>
      <c r="L40" s="6"/>
      <c r="M40" s="6"/>
      <c r="N40" s="6"/>
      <c r="O40" s="6"/>
      <c r="P40" s="7"/>
      <c r="Q40" s="8" t="s">
        <v>174</v>
      </c>
      <c r="R40" s="6"/>
      <c r="S40" s="40">
        <f>S41+S45</f>
        <v>323.14999999999998</v>
      </c>
      <c r="T40" s="6" t="s">
        <v>179</v>
      </c>
      <c r="U40" s="6"/>
      <c r="V40" s="6"/>
      <c r="W40" s="11"/>
      <c r="X40" s="11"/>
      <c r="Y40" s="173"/>
      <c r="Z40" s="173"/>
      <c r="AA40" s="173"/>
      <c r="AB40" s="217" t="str">
        <f>+AB13</f>
        <v>31 kΩ</v>
      </c>
      <c r="AC40" s="217"/>
      <c r="AD40" s="173"/>
      <c r="AE40" s="173"/>
      <c r="AF40" s="217" t="str">
        <f>+AF13</f>
        <v>1 kΩ</v>
      </c>
      <c r="AG40" s="217"/>
      <c r="AH40" s="173"/>
      <c r="AI40" s="173"/>
      <c r="AJ40" s="173"/>
      <c r="AK40" s="173"/>
      <c r="AL40" s="173"/>
      <c r="AM40" s="173"/>
      <c r="AN40" s="7"/>
      <c r="AO40" s="72"/>
    </row>
    <row r="41" spans="1:41" ht="15.75" thickBot="1">
      <c r="A41" s="5"/>
      <c r="B41" s="6" t="s">
        <v>70</v>
      </c>
      <c r="C41" s="6"/>
      <c r="D41" s="6"/>
      <c r="E41" s="6"/>
      <c r="F41" s="6"/>
      <c r="G41" s="6"/>
      <c r="H41" s="6"/>
      <c r="I41" s="6"/>
      <c r="J41" s="6"/>
      <c r="K41" s="34"/>
      <c r="L41" s="6"/>
      <c r="M41" s="6"/>
      <c r="N41" s="6"/>
      <c r="O41" s="6"/>
      <c r="P41" s="7"/>
      <c r="Q41" s="8" t="s">
        <v>196</v>
      </c>
      <c r="R41" s="8"/>
      <c r="S41" s="136">
        <v>50</v>
      </c>
      <c r="T41" s="123" t="s">
        <v>180</v>
      </c>
      <c r="U41" s="6"/>
      <c r="V41" s="6"/>
      <c r="W41" s="6"/>
      <c r="X41" s="6"/>
      <c r="Y41" s="173"/>
      <c r="Z41" s="173"/>
      <c r="AA41" s="173"/>
      <c r="AB41" s="172"/>
      <c r="AC41" s="172"/>
      <c r="AD41" s="173"/>
      <c r="AE41" s="173"/>
      <c r="AF41" s="172"/>
      <c r="AG41" s="172"/>
      <c r="AH41" s="173"/>
      <c r="AI41" s="173"/>
      <c r="AJ41" s="173"/>
      <c r="AK41" s="173"/>
      <c r="AL41" s="173"/>
      <c r="AM41" s="173"/>
      <c r="AN41" s="7"/>
      <c r="AO41" s="72"/>
    </row>
    <row r="42" spans="1:41">
      <c r="A42" s="5"/>
      <c r="B42" s="6" t="s">
        <v>71</v>
      </c>
      <c r="C42" s="6"/>
      <c r="D42" s="6"/>
      <c r="E42" s="6"/>
      <c r="F42" s="6"/>
      <c r="G42" s="6"/>
      <c r="H42" s="6"/>
      <c r="I42" s="6"/>
      <c r="J42" s="6"/>
      <c r="K42" s="34"/>
      <c r="L42" s="6"/>
      <c r="M42" s="6"/>
      <c r="N42" s="6"/>
      <c r="O42" s="6"/>
      <c r="P42" s="7"/>
      <c r="Q42" s="8" t="s">
        <v>190</v>
      </c>
      <c r="R42" s="8"/>
      <c r="S42" s="8" t="s">
        <v>189</v>
      </c>
      <c r="T42" s="6" t="s">
        <v>191</v>
      </c>
      <c r="U42" s="6"/>
      <c r="V42" s="6"/>
      <c r="W42" s="6"/>
      <c r="X42" s="6"/>
      <c r="Y42" s="173"/>
      <c r="Z42" s="173"/>
      <c r="AA42" s="173"/>
      <c r="AB42" s="218" t="str">
        <f>+AB15</f>
        <v>2N2222A</v>
      </c>
      <c r="AC42" s="218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7"/>
      <c r="AO42" s="72"/>
    </row>
    <row r="43" spans="1:41" ht="15.75" thickBot="1">
      <c r="A43" s="5"/>
      <c r="B43" s="6" t="s">
        <v>72</v>
      </c>
      <c r="C43" s="6"/>
      <c r="D43" s="6"/>
      <c r="E43" s="6"/>
      <c r="F43" s="6"/>
      <c r="G43" s="6"/>
      <c r="H43" s="6"/>
      <c r="I43" s="6"/>
      <c r="J43" s="6"/>
      <c r="K43" s="34"/>
      <c r="L43" s="6"/>
      <c r="M43" s="6"/>
      <c r="N43" s="141"/>
      <c r="O43" s="6"/>
      <c r="P43" s="7"/>
      <c r="Q43" s="8" t="s">
        <v>194</v>
      </c>
      <c r="R43" s="8"/>
      <c r="S43" s="8">
        <f>(1.3806488/10^23)/(1.602167565/10^19)</f>
        <v>8.6173807918774094E-5</v>
      </c>
      <c r="T43" s="6" t="s">
        <v>177</v>
      </c>
      <c r="U43" s="6"/>
      <c r="V43" s="6"/>
      <c r="W43" s="6"/>
      <c r="X43" s="6"/>
      <c r="Y43" s="173"/>
      <c r="Z43" s="173"/>
      <c r="AA43" s="173"/>
      <c r="AB43" s="189"/>
      <c r="AC43" s="189"/>
      <c r="AD43" s="173"/>
      <c r="AE43" s="173"/>
      <c r="AF43" s="173"/>
      <c r="AG43" s="218" t="str">
        <f>+AG16</f>
        <v>0,16  uF</v>
      </c>
      <c r="AH43" s="218"/>
      <c r="AI43" s="173"/>
      <c r="AJ43" s="173"/>
      <c r="AK43" s="173"/>
      <c r="AL43" s="173"/>
      <c r="AM43" s="173"/>
      <c r="AN43" s="7"/>
      <c r="AO43" s="72"/>
    </row>
    <row r="44" spans="1:41" ht="16.5" thickBot="1">
      <c r="A44" s="5"/>
      <c r="B44" s="6" t="s">
        <v>73</v>
      </c>
      <c r="C44" s="6"/>
      <c r="D44" s="6"/>
      <c r="E44" s="6"/>
      <c r="F44" s="6"/>
      <c r="G44" s="6"/>
      <c r="H44" s="6"/>
      <c r="I44" s="6"/>
      <c r="J44" s="6"/>
      <c r="K44" s="34"/>
      <c r="L44" s="6"/>
      <c r="M44" s="31" t="s">
        <v>31</v>
      </c>
      <c r="N44" s="52">
        <v>10</v>
      </c>
      <c r="O44" s="6"/>
      <c r="P44" s="7"/>
      <c r="Q44" s="5" t="s">
        <v>175</v>
      </c>
      <c r="R44" s="6"/>
      <c r="S44" s="55">
        <f>+F12</f>
        <v>5.024390243902439</v>
      </c>
      <c r="T44" s="6" t="s">
        <v>176</v>
      </c>
      <c r="U44" s="6"/>
      <c r="V44" s="6"/>
      <c r="W44" s="6"/>
      <c r="X44" s="6"/>
      <c r="Y44" s="173"/>
      <c r="Z44" s="173"/>
      <c r="AA44" s="173"/>
      <c r="AB44" s="173"/>
      <c r="AC44" s="173"/>
      <c r="AD44" s="173"/>
      <c r="AE44" s="173"/>
      <c r="AF44" s="173"/>
      <c r="AG44" s="189"/>
      <c r="AH44" s="189"/>
      <c r="AI44" s="173"/>
      <c r="AJ44" s="173"/>
      <c r="AK44" s="173"/>
      <c r="AL44" s="173"/>
      <c r="AM44" s="173"/>
      <c r="AN44" s="7"/>
      <c r="AO44" s="72"/>
    </row>
    <row r="45" spans="1:41">
      <c r="A45" s="5"/>
      <c r="B45" s="6"/>
      <c r="C45" s="6"/>
      <c r="D45" s="6"/>
      <c r="E45" s="6"/>
      <c r="F45" s="6"/>
      <c r="G45" s="6"/>
      <c r="H45" s="6"/>
      <c r="I45" s="6"/>
      <c r="J45" s="6"/>
      <c r="K45" s="34"/>
      <c r="L45" s="6"/>
      <c r="M45" s="6"/>
      <c r="N45" s="6"/>
      <c r="O45" s="6"/>
      <c r="P45" s="7"/>
      <c r="Q45" s="5" t="s">
        <v>181</v>
      </c>
      <c r="R45" s="8"/>
      <c r="S45" s="40">
        <v>273.14999999999998</v>
      </c>
      <c r="T45" s="39" t="s">
        <v>178</v>
      </c>
      <c r="U45" s="6"/>
      <c r="V45" s="6"/>
      <c r="W45" s="6"/>
      <c r="X45" s="6"/>
      <c r="Y45" s="218" t="str">
        <f>+Y18</f>
        <v>1,68  uF</v>
      </c>
      <c r="Z45" s="218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218" t="str">
        <f>+AL18</f>
        <v>10 Volt</v>
      </c>
      <c r="AM45" s="218"/>
      <c r="AN45" s="7"/>
      <c r="AO45" s="72"/>
    </row>
    <row r="46" spans="1:41">
      <c r="A46" s="5"/>
      <c r="B46" s="32" t="s">
        <v>15</v>
      </c>
      <c r="C46" s="6"/>
      <c r="D46" s="6"/>
      <c r="E46" s="6"/>
      <c r="F46" s="6"/>
      <c r="G46" s="6"/>
      <c r="H46" s="6"/>
      <c r="I46" s="6"/>
      <c r="J46" s="6"/>
      <c r="K46" s="34"/>
      <c r="L46" s="6"/>
      <c r="M46" s="6"/>
      <c r="N46" s="141"/>
      <c r="O46" s="6"/>
      <c r="P46" s="7"/>
      <c r="Q46" s="5" t="s">
        <v>185</v>
      </c>
      <c r="R46" s="127"/>
      <c r="S46" s="6"/>
      <c r="T46" s="6"/>
      <c r="U46" s="6"/>
      <c r="V46" s="6"/>
      <c r="W46" s="6"/>
      <c r="X46" s="6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7"/>
      <c r="AO46" s="72"/>
    </row>
    <row r="47" spans="1:41">
      <c r="A47" s="5"/>
      <c r="B47" s="200" t="s">
        <v>132</v>
      </c>
      <c r="C47" s="200"/>
      <c r="D47" s="8"/>
      <c r="E47" s="8"/>
      <c r="F47" s="57">
        <f>D28/N44</f>
        <v>19.902912621359224</v>
      </c>
      <c r="G47" s="65" t="s">
        <v>4</v>
      </c>
      <c r="H47" s="6"/>
      <c r="I47" s="6"/>
      <c r="J47" s="6"/>
      <c r="K47" s="34"/>
      <c r="L47" s="6"/>
      <c r="M47" s="6"/>
      <c r="N47" s="6"/>
      <c r="O47" s="141"/>
      <c r="P47" s="75"/>
      <c r="Q47" s="5" t="s">
        <v>184</v>
      </c>
      <c r="R47" s="6"/>
      <c r="S47" s="8"/>
      <c r="T47" s="8"/>
      <c r="U47" s="6"/>
      <c r="V47" s="6"/>
      <c r="W47" s="6"/>
      <c r="X47" s="6"/>
      <c r="Y47" s="189"/>
      <c r="Z47" s="189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89"/>
      <c r="AM47" s="189"/>
      <c r="AN47" s="7"/>
      <c r="AO47" s="72"/>
    </row>
    <row r="48" spans="1:41">
      <c r="A48" s="5"/>
      <c r="B48" s="200" t="s">
        <v>147</v>
      </c>
      <c r="C48" s="200"/>
      <c r="D48" s="8"/>
      <c r="E48" s="8"/>
      <c r="F48" s="58">
        <f>(1/(2*PI()*K6*F47))*10^6</f>
        <v>79.965654333976673</v>
      </c>
      <c r="G48" s="19" t="s">
        <v>14</v>
      </c>
      <c r="H48" s="6"/>
      <c r="I48" s="60">
        <f>ROUND(F48,0)</f>
        <v>80</v>
      </c>
      <c r="J48" s="14" t="s">
        <v>36</v>
      </c>
      <c r="K48" s="56"/>
      <c r="L48" s="6"/>
      <c r="M48" s="6"/>
      <c r="N48" s="6"/>
      <c r="O48" s="141"/>
      <c r="P48" s="75"/>
      <c r="Q48" s="8"/>
      <c r="R48" s="8"/>
      <c r="S48" s="8"/>
      <c r="T48" s="8"/>
      <c r="U48" s="6"/>
      <c r="V48" s="6"/>
      <c r="W48" s="6"/>
      <c r="X48" s="6"/>
      <c r="Y48" s="173"/>
      <c r="Z48" s="173"/>
      <c r="AA48" s="173"/>
      <c r="AB48" s="217" t="str">
        <f>+AB21</f>
        <v>7 kΩ</v>
      </c>
      <c r="AC48" s="217"/>
      <c r="AD48" s="173"/>
      <c r="AE48" s="173"/>
      <c r="AF48" s="217" t="str">
        <f>+AF21</f>
        <v>199 Ω</v>
      </c>
      <c r="AG48" s="217"/>
      <c r="AH48" s="173"/>
      <c r="AI48" s="173"/>
      <c r="AJ48" s="217" t="str">
        <f>+AJ21</f>
        <v>10 kΩ</v>
      </c>
      <c r="AK48" s="217"/>
      <c r="AL48" s="173"/>
      <c r="AM48" s="173"/>
      <c r="AN48" s="7"/>
      <c r="AO48" s="72"/>
    </row>
    <row r="49" spans="1:41">
      <c r="A49" s="5"/>
      <c r="B49" s="200" t="s">
        <v>148</v>
      </c>
      <c r="C49" s="200"/>
      <c r="D49" s="8"/>
      <c r="E49" s="8"/>
      <c r="F49" s="57">
        <f>1/(2*PI()*K6*F48*10^-6)</f>
        <v>19.902912621359224</v>
      </c>
      <c r="G49" s="65" t="s">
        <v>4</v>
      </c>
      <c r="H49" s="141" t="s">
        <v>25</v>
      </c>
      <c r="I49" s="137" t="str">
        <f>CONCATENATE("Ved ",K5,K4,K6)</f>
        <v>Ved Nedre Grænse frekvens i Hz 100</v>
      </c>
      <c r="J49" s="6"/>
      <c r="K49" s="6"/>
      <c r="L49" s="6"/>
      <c r="M49" s="6"/>
      <c r="N49" s="6"/>
      <c r="O49" s="141"/>
      <c r="P49" s="75"/>
      <c r="Q49" s="8"/>
      <c r="R49" s="8"/>
      <c r="S49" s="8"/>
      <c r="T49" s="8"/>
      <c r="U49" s="6"/>
      <c r="V49" s="6"/>
      <c r="W49" s="6"/>
      <c r="X49" s="6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7"/>
      <c r="AO49" s="72"/>
    </row>
    <row r="50" spans="1:41">
      <c r="A50" s="5"/>
      <c r="B50" s="200" t="s">
        <v>149</v>
      </c>
      <c r="C50" s="200"/>
      <c r="D50" s="8"/>
      <c r="E50" s="8"/>
      <c r="F50" s="69">
        <f>1/(2*PI()*L6*F48*10^-6)</f>
        <v>6.6343042071197428E-2</v>
      </c>
      <c r="G50" s="65" t="s">
        <v>4</v>
      </c>
      <c r="H50" s="141" t="s">
        <v>25</v>
      </c>
      <c r="I50" s="137" t="str">
        <f>CONCATENATE("Ved ",L5,K4,L6)</f>
        <v>Ved Øvre Grænse frekvens i Hz 30000</v>
      </c>
      <c r="J50" s="6"/>
      <c r="K50" s="6"/>
      <c r="L50" s="6"/>
      <c r="M50" s="6"/>
      <c r="N50" s="6"/>
      <c r="O50" s="141"/>
      <c r="P50" s="75"/>
      <c r="Q50" s="8"/>
      <c r="R50" s="8"/>
      <c r="S50" s="8"/>
      <c r="T50" s="8"/>
      <c r="U50" s="6"/>
      <c r="V50" s="6"/>
      <c r="W50" s="6"/>
      <c r="X50" s="6"/>
      <c r="Y50" s="173"/>
      <c r="Z50" s="173"/>
      <c r="AA50" s="173"/>
      <c r="AB50" s="216" t="str">
        <f>CONCATENATE(R13,S13)</f>
        <v>80 uF</v>
      </c>
      <c r="AC50" s="216"/>
      <c r="AD50" s="173"/>
      <c r="AE50" s="173"/>
      <c r="AF50" s="189"/>
      <c r="AG50" s="189"/>
      <c r="AH50" s="173"/>
      <c r="AI50" s="173"/>
      <c r="AJ50" s="189"/>
      <c r="AK50" s="189"/>
      <c r="AL50" s="173"/>
      <c r="AM50" s="173"/>
      <c r="AN50" s="7"/>
      <c r="AO50" s="72"/>
    </row>
    <row r="51" spans="1:41" ht="15.75">
      <c r="A51" s="5"/>
      <c r="B51" s="6"/>
      <c r="C51" s="6"/>
      <c r="D51" s="6"/>
      <c r="E51" s="6"/>
      <c r="F51" s="6"/>
      <c r="G51" s="6"/>
      <c r="H51" s="6"/>
      <c r="I51" s="6"/>
      <c r="J51" s="6"/>
      <c r="K51" s="34"/>
      <c r="L51" s="6"/>
      <c r="M51" s="6"/>
      <c r="N51" s="6"/>
      <c r="O51" s="6"/>
      <c r="P51" s="7"/>
      <c r="Q51" s="5"/>
      <c r="R51" s="6"/>
      <c r="S51" s="8"/>
      <c r="T51" s="8"/>
      <c r="U51" s="6"/>
      <c r="V51" s="8"/>
      <c r="W51" s="79"/>
      <c r="X51" s="79"/>
      <c r="Y51" s="173"/>
      <c r="Z51" s="173"/>
      <c r="AA51" s="173"/>
      <c r="AB51" s="172"/>
      <c r="AC51" s="172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7"/>
      <c r="AO51" s="72"/>
    </row>
    <row r="52" spans="1:41">
      <c r="A52" s="5"/>
      <c r="B52" s="6" t="s">
        <v>17</v>
      </c>
      <c r="C52" s="6"/>
      <c r="D52" s="6"/>
      <c r="E52" s="6"/>
      <c r="F52" s="6"/>
      <c r="G52" s="6"/>
      <c r="H52" s="6"/>
      <c r="I52" s="6"/>
      <c r="J52" s="6"/>
      <c r="K52" s="34"/>
      <c r="L52" s="6"/>
      <c r="M52" s="6"/>
      <c r="N52" s="6"/>
      <c r="O52" s="6"/>
      <c r="P52" s="7"/>
      <c r="Q52" s="8"/>
      <c r="R52" s="8"/>
      <c r="S52" s="8"/>
      <c r="T52" s="8"/>
      <c r="U52" s="6"/>
      <c r="V52" s="121"/>
      <c r="W52" s="120"/>
      <c r="X52" s="120"/>
      <c r="Y52" s="173"/>
      <c r="Z52" s="173"/>
      <c r="AA52" s="173"/>
      <c r="AB52" s="8"/>
      <c r="AC52" s="8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7"/>
      <c r="AO52" s="72"/>
    </row>
    <row r="53" spans="1:41">
      <c r="A53" s="5"/>
      <c r="B53" s="6" t="s">
        <v>16</v>
      </c>
      <c r="C53" s="6"/>
      <c r="D53" s="6"/>
      <c r="E53" s="6"/>
      <c r="F53" s="6"/>
      <c r="G53" s="6"/>
      <c r="H53" s="6"/>
      <c r="I53" s="6"/>
      <c r="J53" s="6"/>
      <c r="K53" s="34"/>
      <c r="L53" s="6"/>
      <c r="M53" s="6"/>
      <c r="N53" s="6"/>
      <c r="O53" s="18"/>
      <c r="P53" s="7"/>
      <c r="Q53" s="5"/>
      <c r="R53" s="6"/>
      <c r="S53" s="141"/>
      <c r="T53" s="6"/>
      <c r="U53" s="6"/>
      <c r="V53" s="134"/>
      <c r="W53" s="135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7"/>
      <c r="AO53" s="72"/>
    </row>
    <row r="54" spans="1:41">
      <c r="A54" s="5"/>
      <c r="B54" s="6" t="s">
        <v>19</v>
      </c>
      <c r="C54" s="6"/>
      <c r="D54" s="6"/>
      <c r="E54" s="6"/>
      <c r="F54" s="6"/>
      <c r="G54" s="6"/>
      <c r="H54" s="6"/>
      <c r="I54" s="6"/>
      <c r="J54" s="6"/>
      <c r="K54" s="34"/>
      <c r="L54" s="6"/>
      <c r="M54" s="6"/>
      <c r="N54" s="6"/>
      <c r="O54" s="18"/>
      <c r="P54" s="7"/>
      <c r="Q54" s="5"/>
      <c r="R54" s="6"/>
      <c r="S54" s="21"/>
      <c r="T54" s="6"/>
      <c r="U54" s="6"/>
      <c r="V54" s="6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7"/>
      <c r="AO54" s="72"/>
    </row>
    <row r="55" spans="1:41">
      <c r="A55" s="5"/>
      <c r="B55" s="6" t="s">
        <v>56</v>
      </c>
      <c r="C55" s="6"/>
      <c r="D55" s="6"/>
      <c r="E55" s="6"/>
      <c r="F55" s="6"/>
      <c r="G55" s="6"/>
      <c r="H55" s="6"/>
      <c r="I55" s="6"/>
      <c r="J55" s="6"/>
      <c r="K55" s="34"/>
      <c r="L55" s="6"/>
      <c r="M55" s="6"/>
      <c r="N55" s="6"/>
      <c r="O55" s="6"/>
      <c r="P55" s="7"/>
      <c r="Q55" s="5"/>
      <c r="R55" s="6"/>
      <c r="S55" s="39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7"/>
      <c r="AO55" s="72"/>
    </row>
    <row r="56" spans="1:41" ht="15.75">
      <c r="A56" s="5"/>
      <c r="B56" s="6"/>
      <c r="C56" s="6"/>
      <c r="D56" s="6"/>
      <c r="E56" s="6"/>
      <c r="F56" s="6"/>
      <c r="G56" s="6"/>
      <c r="H56" s="6"/>
      <c r="I56" s="6"/>
      <c r="J56" s="6"/>
      <c r="K56" s="34"/>
      <c r="L56" s="6"/>
      <c r="M56" s="6"/>
      <c r="N56" s="141"/>
      <c r="O56" s="6"/>
      <c r="P56" s="7"/>
      <c r="Q56" s="8"/>
      <c r="R56" s="8"/>
      <c r="S56" s="8"/>
      <c r="T56" s="6"/>
      <c r="U56" s="174" t="s">
        <v>165</v>
      </c>
      <c r="V56" s="183">
        <f>+$C$6</f>
        <v>205</v>
      </c>
      <c r="W56" s="244" t="str">
        <f>+$S$1</f>
        <v>2N2222A</v>
      </c>
      <c r="X56" s="244"/>
      <c r="Y56" s="184"/>
      <c r="Z56" s="185"/>
      <c r="AA56" s="198" t="s">
        <v>20</v>
      </c>
      <c r="AB56" s="198"/>
      <c r="AC56" s="198"/>
      <c r="AD56" s="198"/>
      <c r="AE56" s="198"/>
      <c r="AF56" s="198"/>
      <c r="AG56" s="198"/>
      <c r="AH56" s="198"/>
      <c r="AI56" s="198"/>
      <c r="AJ56" s="198"/>
      <c r="AK56" s="198"/>
      <c r="AL56" s="6"/>
      <c r="AM56" s="6"/>
      <c r="AN56" s="7"/>
      <c r="AO56" s="72"/>
    </row>
    <row r="57" spans="1:41">
      <c r="A57" s="5"/>
      <c r="B57" s="32" t="s">
        <v>20</v>
      </c>
      <c r="C57" s="6"/>
      <c r="D57" s="6"/>
      <c r="E57" s="6"/>
      <c r="F57" s="6"/>
      <c r="G57" s="6"/>
      <c r="H57" s="6"/>
      <c r="I57" s="6"/>
      <c r="J57" s="6"/>
      <c r="K57" s="34"/>
      <c r="L57" s="6"/>
      <c r="M57" s="6"/>
      <c r="N57" s="141"/>
      <c r="O57" s="6"/>
      <c r="P57" s="7"/>
      <c r="Q57" s="8"/>
      <c r="R57" s="8"/>
      <c r="S57" s="127"/>
      <c r="T57" s="127"/>
      <c r="U57" s="186" t="s">
        <v>211</v>
      </c>
      <c r="V57" s="187">
        <f>+F38</f>
        <v>3.9708921945312992</v>
      </c>
      <c r="W57" s="34" t="s">
        <v>246</v>
      </c>
      <c r="X57" s="161"/>
      <c r="Y57" s="244" t="str">
        <f>+$S$1</f>
        <v>2N2222A</v>
      </c>
      <c r="Z57" s="244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7"/>
      <c r="AO57" s="72"/>
    </row>
    <row r="58" spans="1:41">
      <c r="A58" s="5"/>
      <c r="B58" s="33" t="s">
        <v>122</v>
      </c>
      <c r="C58" s="6"/>
      <c r="D58" s="6"/>
      <c r="E58" s="6"/>
      <c r="F58" s="6"/>
      <c r="G58" s="6"/>
      <c r="H58" s="6"/>
      <c r="I58" s="6"/>
      <c r="J58" s="6"/>
      <c r="K58" s="34"/>
      <c r="L58" s="6"/>
      <c r="M58" s="6"/>
      <c r="N58" s="141"/>
      <c r="O58" s="6"/>
      <c r="P58" s="7"/>
      <c r="Q58" s="8"/>
      <c r="R58" s="8"/>
      <c r="S58" s="6"/>
      <c r="T58" s="6"/>
      <c r="U58" s="161" t="s">
        <v>211</v>
      </c>
      <c r="V58" s="188">
        <f>+'2N2222A'!J69</f>
        <v>4.0853000000000002</v>
      </c>
      <c r="W58" s="34" t="str">
        <f>+W31</f>
        <v>Default for 2N2222A i simulator program</v>
      </c>
      <c r="X58" s="161"/>
      <c r="Y58" s="161"/>
      <c r="Z58" s="161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7"/>
      <c r="AO58" s="72"/>
    </row>
    <row r="59" spans="1:41">
      <c r="A59" s="5"/>
      <c r="B59" s="33" t="s">
        <v>42</v>
      </c>
      <c r="C59" s="6"/>
      <c r="D59" s="6"/>
      <c r="E59" s="6"/>
      <c r="F59" s="6"/>
      <c r="G59" s="6"/>
      <c r="H59" s="6"/>
      <c r="I59" s="6"/>
      <c r="J59" s="6"/>
      <c r="K59" s="34"/>
      <c r="L59" s="6"/>
      <c r="M59" s="6"/>
      <c r="N59" s="141"/>
      <c r="O59" s="141"/>
      <c r="P59" s="75"/>
      <c r="Q59" s="8"/>
      <c r="R59" s="8"/>
      <c r="S59" s="6"/>
      <c r="T59" s="6"/>
      <c r="U59" s="161" t="s">
        <v>211</v>
      </c>
      <c r="V59" s="188">
        <f>+BC547B!J69</f>
        <v>2.6338499999999998</v>
      </c>
      <c r="W59" s="34" t="str">
        <f>+W32</f>
        <v>Default for BC547B i simulator program</v>
      </c>
      <c r="X59" s="161"/>
      <c r="Y59" s="161"/>
      <c r="Z59" s="161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7"/>
      <c r="AO59" s="72"/>
    </row>
    <row r="60" spans="1:41">
      <c r="A60" s="5"/>
      <c r="B60" s="6"/>
      <c r="C60" s="6"/>
      <c r="D60" s="6"/>
      <c r="E60" s="6"/>
      <c r="F60" s="6"/>
      <c r="G60" s="6"/>
      <c r="H60" s="6"/>
      <c r="I60" s="6"/>
      <c r="J60" s="6"/>
      <c r="K60" s="34"/>
      <c r="L60" s="6"/>
      <c r="M60" s="6"/>
      <c r="N60" s="6"/>
      <c r="O60" s="6"/>
      <c r="P60" s="7"/>
      <c r="Q60" s="5"/>
      <c r="R60" s="6"/>
      <c r="S60" s="6"/>
      <c r="T60" s="6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7"/>
      <c r="AO60" s="72"/>
    </row>
    <row r="61" spans="1:41">
      <c r="A61" s="5"/>
      <c r="B61" s="33" t="s">
        <v>123</v>
      </c>
      <c r="C61" s="6"/>
      <c r="D61" s="6"/>
      <c r="E61" s="6"/>
      <c r="F61" s="6"/>
      <c r="G61" s="6"/>
      <c r="H61" s="6"/>
      <c r="I61" s="6"/>
      <c r="J61" s="6"/>
      <c r="K61" s="34"/>
      <c r="L61" s="6"/>
      <c r="M61" s="6"/>
      <c r="N61" s="6"/>
      <c r="O61" s="6"/>
      <c r="P61" s="7"/>
      <c r="Q61" s="5"/>
      <c r="R61" s="6"/>
      <c r="S61" s="6"/>
      <c r="T61" s="6"/>
      <c r="U61" s="6"/>
      <c r="V61" s="6"/>
      <c r="W61" s="6"/>
      <c r="X61" s="6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7"/>
      <c r="AO61" s="72"/>
    </row>
    <row r="62" spans="1:41">
      <c r="A62" s="5"/>
      <c r="B62" s="33" t="s">
        <v>124</v>
      </c>
      <c r="C62" s="6"/>
      <c r="D62" s="6"/>
      <c r="E62" s="6"/>
      <c r="F62" s="6"/>
      <c r="G62" s="6"/>
      <c r="H62" s="6"/>
      <c r="I62" s="6"/>
      <c r="J62" s="6"/>
      <c r="K62" s="34"/>
      <c r="L62" s="6"/>
      <c r="M62" s="6"/>
      <c r="N62" s="6"/>
      <c r="O62" s="6"/>
      <c r="P62" s="7"/>
      <c r="Q62" s="5"/>
      <c r="R62" s="6"/>
      <c r="S62" s="6"/>
      <c r="T62" s="6"/>
      <c r="U62" s="6"/>
      <c r="V62" s="6"/>
      <c r="W62" s="6"/>
      <c r="X62" s="6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7"/>
      <c r="AO62" s="72"/>
    </row>
    <row r="63" spans="1:41">
      <c r="A63" s="5"/>
      <c r="B63" s="33" t="s">
        <v>21</v>
      </c>
      <c r="C63" s="6"/>
      <c r="D63" s="6"/>
      <c r="E63" s="6"/>
      <c r="F63" s="6"/>
      <c r="G63" s="6"/>
      <c r="H63" s="6"/>
      <c r="I63" s="6"/>
      <c r="J63" s="6"/>
      <c r="K63" s="34"/>
      <c r="L63" s="6"/>
      <c r="M63" s="6"/>
      <c r="N63" s="6"/>
      <c r="O63" s="6"/>
      <c r="P63" s="7"/>
      <c r="Q63" s="5"/>
      <c r="R63" s="6"/>
      <c r="S63" s="6"/>
      <c r="T63" s="6"/>
      <c r="U63" s="6"/>
      <c r="V63" s="6"/>
      <c r="W63" s="173"/>
      <c r="X63" s="173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7"/>
      <c r="AO63" s="72"/>
    </row>
    <row r="64" spans="1:41">
      <c r="A64" s="5"/>
      <c r="B64" s="6"/>
      <c r="C64" s="6"/>
      <c r="D64" s="6"/>
      <c r="E64" s="6"/>
      <c r="F64" s="6"/>
      <c r="G64" s="6"/>
      <c r="H64" s="6"/>
      <c r="I64" s="6"/>
      <c r="J64" s="6"/>
      <c r="K64" s="34"/>
      <c r="L64" s="6"/>
      <c r="M64" s="6"/>
      <c r="N64" s="6"/>
      <c r="O64" s="6"/>
      <c r="P64" s="7"/>
      <c r="Q64" s="5"/>
      <c r="R64" s="6"/>
      <c r="S64" s="6"/>
      <c r="T64" s="6"/>
      <c r="U64" s="6"/>
      <c r="V64" s="6"/>
      <c r="W64" s="6"/>
      <c r="X64" s="6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7"/>
      <c r="AO64" s="72"/>
    </row>
    <row r="65" spans="1:41">
      <c r="A65" s="5"/>
      <c r="B65" s="33" t="s">
        <v>91</v>
      </c>
      <c r="C65" s="6"/>
      <c r="D65" s="6"/>
      <c r="E65" s="6"/>
      <c r="F65" s="6"/>
      <c r="G65" s="6"/>
      <c r="H65" s="6"/>
      <c r="I65" s="6"/>
      <c r="J65" s="6"/>
      <c r="K65" s="34"/>
      <c r="L65" s="6"/>
      <c r="M65" s="6"/>
      <c r="N65" s="6"/>
      <c r="O65" s="6"/>
      <c r="P65" s="7"/>
      <c r="Q65" s="5"/>
      <c r="R65" s="6"/>
      <c r="S65" s="6"/>
      <c r="T65" s="6"/>
      <c r="U65" s="6"/>
      <c r="V65" s="6"/>
      <c r="W65" s="6"/>
      <c r="X65" s="6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7"/>
      <c r="AO65" s="72"/>
    </row>
    <row r="66" spans="1:41">
      <c r="A66" s="5"/>
      <c r="B66" s="33" t="s">
        <v>125</v>
      </c>
      <c r="C66" s="6"/>
      <c r="D66" s="6"/>
      <c r="E66" s="6"/>
      <c r="F66" s="6"/>
      <c r="G66" s="6"/>
      <c r="H66" s="6"/>
      <c r="I66" s="6"/>
      <c r="J66" s="6"/>
      <c r="K66" s="34"/>
      <c r="L66" s="6"/>
      <c r="M66" s="6"/>
      <c r="N66" s="6"/>
      <c r="O66" s="6"/>
      <c r="P66" s="7"/>
      <c r="Q66" s="5"/>
      <c r="R66" s="6"/>
      <c r="S66" s="6"/>
      <c r="T66" s="6"/>
      <c r="U66" s="6"/>
      <c r="V66" s="6"/>
      <c r="W66" s="6"/>
      <c r="X66" s="6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7"/>
      <c r="AO66" s="72"/>
    </row>
    <row r="67" spans="1:41">
      <c r="A67" s="5"/>
      <c r="B67" s="6" t="s">
        <v>126</v>
      </c>
      <c r="C67" s="6"/>
      <c r="D67" s="6"/>
      <c r="E67" s="6"/>
      <c r="F67" s="6"/>
      <c r="G67" s="6"/>
      <c r="H67" s="6"/>
      <c r="I67" s="6"/>
      <c r="J67" s="6"/>
      <c r="K67" s="34"/>
      <c r="L67" s="6"/>
      <c r="M67" s="6"/>
      <c r="N67" s="6"/>
      <c r="O67" s="6"/>
      <c r="P67" s="7"/>
      <c r="Q67" s="5"/>
      <c r="R67" s="6"/>
      <c r="S67" s="6"/>
      <c r="T67" s="6"/>
      <c r="U67" s="6"/>
      <c r="V67" s="6"/>
      <c r="W67" s="6"/>
      <c r="X67" s="6"/>
      <c r="Y67" s="189"/>
      <c r="Z67" s="170"/>
      <c r="AA67" s="173"/>
      <c r="AB67" s="217" t="str">
        <f>+AB40</f>
        <v>31 kΩ</v>
      </c>
      <c r="AC67" s="217"/>
      <c r="AD67" s="173"/>
      <c r="AE67" s="173"/>
      <c r="AF67" s="217" t="str">
        <f>+AF40</f>
        <v>1 kΩ</v>
      </c>
      <c r="AG67" s="217"/>
      <c r="AH67" s="173"/>
      <c r="AI67" s="173"/>
      <c r="AJ67" s="173"/>
      <c r="AK67" s="173"/>
      <c r="AL67" s="173"/>
      <c r="AM67" s="173"/>
      <c r="AN67" s="7"/>
      <c r="AO67" s="72"/>
    </row>
    <row r="68" spans="1:41">
      <c r="A68" s="5"/>
      <c r="B68" s="33" t="s">
        <v>30</v>
      </c>
      <c r="C68" s="6"/>
      <c r="D68" s="6"/>
      <c r="E68" s="6"/>
      <c r="F68" s="6"/>
      <c r="G68" s="6"/>
      <c r="H68" s="6"/>
      <c r="I68" s="6"/>
      <c r="J68" s="6"/>
      <c r="K68" s="34"/>
      <c r="L68" s="6"/>
      <c r="M68" s="6"/>
      <c r="N68" s="6"/>
      <c r="O68" s="6"/>
      <c r="P68" s="7"/>
      <c r="Q68" s="5"/>
      <c r="R68" s="6"/>
      <c r="S68" s="6"/>
      <c r="T68" s="6"/>
      <c r="U68" s="6"/>
      <c r="V68" s="6"/>
      <c r="W68" s="6"/>
      <c r="X68" s="6"/>
      <c r="Y68" s="189"/>
      <c r="Z68" s="170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73"/>
      <c r="AN68" s="7"/>
      <c r="AO68" s="72"/>
    </row>
    <row r="69" spans="1:41">
      <c r="A69" s="5"/>
      <c r="B69" s="33" t="s">
        <v>29</v>
      </c>
      <c r="C69" s="6"/>
      <c r="D69" s="6"/>
      <c r="E69" s="6"/>
      <c r="F69" s="6"/>
      <c r="G69" s="6"/>
      <c r="H69" s="6"/>
      <c r="I69" s="6"/>
      <c r="J69" s="6"/>
      <c r="K69" s="34"/>
      <c r="L69" s="6"/>
      <c r="M69" s="6"/>
      <c r="N69" s="6"/>
      <c r="O69" s="6"/>
      <c r="P69" s="7"/>
      <c r="Q69" s="5"/>
      <c r="R69" s="6"/>
      <c r="S69" s="6"/>
      <c r="T69" s="6"/>
      <c r="U69" s="6"/>
      <c r="V69" s="6"/>
      <c r="W69" s="6"/>
      <c r="X69" s="6"/>
      <c r="Y69" s="173"/>
      <c r="Z69" s="173"/>
      <c r="AA69" s="173"/>
      <c r="AB69" s="218" t="str">
        <f>+AB42</f>
        <v>2N2222A</v>
      </c>
      <c r="AC69" s="218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7"/>
      <c r="AO69" s="72"/>
    </row>
    <row r="70" spans="1:41">
      <c r="A70" s="5"/>
      <c r="B70" s="33" t="s">
        <v>37</v>
      </c>
      <c r="C70" s="6"/>
      <c r="D70" s="6"/>
      <c r="E70" s="6"/>
      <c r="F70" s="13">
        <f>+N72</f>
        <v>1</v>
      </c>
      <c r="G70" s="33" t="s">
        <v>38</v>
      </c>
      <c r="H70" s="6"/>
      <c r="I70" s="6"/>
      <c r="J70" s="6"/>
      <c r="K70" s="34"/>
      <c r="L70" s="6"/>
      <c r="M70" s="6"/>
      <c r="N70" s="6"/>
      <c r="O70" s="6"/>
      <c r="P70" s="7"/>
      <c r="Q70" s="5"/>
      <c r="R70" s="6"/>
      <c r="S70" s="6"/>
      <c r="T70" s="6"/>
      <c r="U70" s="6"/>
      <c r="V70" s="6"/>
      <c r="W70" s="6"/>
      <c r="X70" s="6"/>
      <c r="Y70" s="173"/>
      <c r="Z70" s="173"/>
      <c r="AA70" s="173"/>
      <c r="AB70" s="173"/>
      <c r="AC70" s="173"/>
      <c r="AD70" s="173"/>
      <c r="AE70" s="173"/>
      <c r="AF70" s="173"/>
      <c r="AG70" s="218" t="str">
        <f>+AG43</f>
        <v>0,16  uF</v>
      </c>
      <c r="AH70" s="218"/>
      <c r="AI70" s="173"/>
      <c r="AJ70" s="173"/>
      <c r="AK70" s="173"/>
      <c r="AL70" s="173"/>
      <c r="AM70" s="173"/>
      <c r="AN70" s="7"/>
      <c r="AO70" s="72"/>
    </row>
    <row r="71" spans="1:41" ht="16.5" thickBot="1">
      <c r="A71" s="5"/>
      <c r="B71" s="33"/>
      <c r="C71" s="6"/>
      <c r="D71" s="6"/>
      <c r="E71" s="6"/>
      <c r="F71" s="6"/>
      <c r="G71" s="6"/>
      <c r="H71" s="6"/>
      <c r="I71" s="6"/>
      <c r="J71" s="6"/>
      <c r="K71" s="34"/>
      <c r="L71" s="6"/>
      <c r="M71" s="6"/>
      <c r="N71" s="140" t="s">
        <v>32</v>
      </c>
      <c r="O71" s="6"/>
      <c r="P71" s="7"/>
      <c r="Q71" s="5"/>
      <c r="R71" s="6"/>
      <c r="S71" s="6"/>
      <c r="T71" s="6"/>
      <c r="U71" s="6"/>
      <c r="V71" s="6"/>
      <c r="W71" s="6"/>
      <c r="X71" s="6"/>
      <c r="Y71" s="173"/>
      <c r="Z71" s="173"/>
      <c r="AA71" s="173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  <c r="AM71" s="173"/>
      <c r="AN71" s="7"/>
      <c r="AO71" s="72"/>
    </row>
    <row r="72" spans="1:41" ht="15.75" thickBot="1">
      <c r="A72" s="5"/>
      <c r="B72" s="33" t="s">
        <v>33</v>
      </c>
      <c r="C72" s="6"/>
      <c r="D72" s="6"/>
      <c r="E72" s="33" t="s">
        <v>28</v>
      </c>
      <c r="F72" s="6"/>
      <c r="G72" s="6"/>
      <c r="H72" s="6" t="s">
        <v>53</v>
      </c>
      <c r="I72" s="6"/>
      <c r="J72" s="6"/>
      <c r="K72" s="34"/>
      <c r="L72" s="6"/>
      <c r="M72" s="138" t="s">
        <v>27</v>
      </c>
      <c r="N72" s="52">
        <v>1</v>
      </c>
      <c r="O72" s="6"/>
      <c r="P72" s="7"/>
      <c r="Q72" s="5"/>
      <c r="R72" s="6"/>
      <c r="S72" s="6"/>
      <c r="T72" s="6"/>
      <c r="U72" s="6"/>
      <c r="V72" s="6"/>
      <c r="W72" s="6"/>
      <c r="X72" s="6"/>
      <c r="Y72" s="218" t="str">
        <f>+Y45</f>
        <v>1,68  uF</v>
      </c>
      <c r="Z72" s="218"/>
      <c r="AA72" s="173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218" t="str">
        <f>+AL45</f>
        <v>10 Volt</v>
      </c>
      <c r="AM72" s="218"/>
      <c r="AN72" s="7"/>
      <c r="AO72" s="72"/>
    </row>
    <row r="73" spans="1:41">
      <c r="A73" s="5"/>
      <c r="B73" s="210" t="s">
        <v>39</v>
      </c>
      <c r="C73" s="210"/>
      <c r="D73" s="210"/>
      <c r="E73" s="8"/>
      <c r="F73" s="58">
        <f>(G6*1000/N72-D28)</f>
        <v>800.97087378640776</v>
      </c>
      <c r="G73" s="65" t="s">
        <v>4</v>
      </c>
      <c r="H73" s="6"/>
      <c r="I73" s="60">
        <f>ROUND(F73,0)</f>
        <v>801</v>
      </c>
      <c r="J73" s="24" t="s">
        <v>34</v>
      </c>
      <c r="K73" s="56"/>
      <c r="L73" s="6"/>
      <c r="M73" s="6"/>
      <c r="N73" s="6"/>
      <c r="O73" s="6"/>
      <c r="P73" s="7"/>
      <c r="Q73" s="5"/>
      <c r="R73" s="6"/>
      <c r="S73" s="6"/>
      <c r="T73" s="6"/>
      <c r="U73" s="6"/>
      <c r="V73" s="6"/>
      <c r="W73" s="6"/>
      <c r="X73" s="6"/>
      <c r="Y73" s="173"/>
      <c r="Z73" s="173"/>
      <c r="AA73" s="173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  <c r="AM73" s="173"/>
      <c r="AN73" s="7"/>
      <c r="AO73" s="72"/>
    </row>
    <row r="74" spans="1:41">
      <c r="A74" s="5"/>
      <c r="B74" s="6"/>
      <c r="C74" s="6"/>
      <c r="D74" s="6"/>
      <c r="E74" s="6"/>
      <c r="F74" s="6"/>
      <c r="G74" s="6"/>
      <c r="H74" s="6"/>
      <c r="I74" s="6"/>
      <c r="J74" s="6"/>
      <c r="K74" s="34"/>
      <c r="L74" s="6"/>
      <c r="M74" s="6"/>
      <c r="N74" s="6"/>
      <c r="O74" s="6"/>
      <c r="P74" s="7"/>
      <c r="Q74" s="5"/>
      <c r="R74" s="6"/>
      <c r="S74" s="6"/>
      <c r="T74" s="6"/>
      <c r="U74" s="6"/>
      <c r="V74" s="6"/>
      <c r="W74" s="6"/>
      <c r="X74" s="6"/>
      <c r="Y74" s="173"/>
      <c r="Z74" s="173"/>
      <c r="AA74" s="173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  <c r="AM74" s="173"/>
      <c r="AN74" s="7"/>
      <c r="AO74" s="72"/>
    </row>
    <row r="75" spans="1:41">
      <c r="A75" s="5"/>
      <c r="B75" s="33" t="s">
        <v>22</v>
      </c>
      <c r="C75" s="6"/>
      <c r="D75" s="6"/>
      <c r="E75" s="13">
        <f>+N72</f>
        <v>1</v>
      </c>
      <c r="F75" s="35" t="s">
        <v>93</v>
      </c>
      <c r="G75" s="23">
        <f>+I28</f>
        <v>199</v>
      </c>
      <c r="H75" s="141" t="s">
        <v>92</v>
      </c>
      <c r="I75" s="23">
        <f>+I73</f>
        <v>801</v>
      </c>
      <c r="J75" s="33" t="s">
        <v>23</v>
      </c>
      <c r="K75" s="34"/>
      <c r="L75" s="6"/>
      <c r="M75" s="6"/>
      <c r="N75" s="6"/>
      <c r="O75" s="53">
        <f>+F36</f>
        <v>4.4038435744115887</v>
      </c>
      <c r="P75" s="7"/>
      <c r="Q75" s="5"/>
      <c r="R75" s="6"/>
      <c r="S75" s="6"/>
      <c r="T75" s="6"/>
      <c r="U75" s="6"/>
      <c r="V75" s="6"/>
      <c r="W75" s="6"/>
      <c r="X75" s="6"/>
      <c r="Y75" s="173"/>
      <c r="Z75" s="173"/>
      <c r="AA75" s="173"/>
      <c r="AB75" s="217" t="str">
        <f>+AB48</f>
        <v>7 kΩ</v>
      </c>
      <c r="AC75" s="217"/>
      <c r="AD75" s="173"/>
      <c r="AE75" s="173"/>
      <c r="AF75" s="217" t="str">
        <f>+AF48</f>
        <v>199 Ω</v>
      </c>
      <c r="AG75" s="217"/>
      <c r="AH75" s="173"/>
      <c r="AI75" s="173"/>
      <c r="AJ75" s="217" t="str">
        <f>+AJ48</f>
        <v>10 kΩ</v>
      </c>
      <c r="AK75" s="217"/>
      <c r="AL75" s="173"/>
      <c r="AM75" s="173"/>
      <c r="AN75" s="7"/>
      <c r="AO75" s="72"/>
    </row>
    <row r="76" spans="1:41">
      <c r="A76" s="5"/>
      <c r="B76" s="33" t="s">
        <v>66</v>
      </c>
      <c r="C76" s="6"/>
      <c r="D76" s="6"/>
      <c r="E76" s="6"/>
      <c r="F76" s="6"/>
      <c r="G76" s="6"/>
      <c r="H76" s="6"/>
      <c r="I76" s="6"/>
      <c r="J76" s="6"/>
      <c r="K76" s="34"/>
      <c r="L76" s="6"/>
      <c r="M76" s="6"/>
      <c r="N76" s="6"/>
      <c r="O76" s="6"/>
      <c r="P76" s="7"/>
      <c r="Q76" s="5"/>
      <c r="R76" s="6"/>
      <c r="S76" s="6"/>
      <c r="T76" s="6"/>
      <c r="U76" s="6"/>
      <c r="V76" s="6"/>
      <c r="W76" s="6"/>
      <c r="X76" s="6"/>
      <c r="Y76" s="173"/>
      <c r="Z76" s="173"/>
      <c r="AA76" s="173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  <c r="AM76" s="173"/>
      <c r="AN76" s="7"/>
      <c r="AO76" s="72"/>
    </row>
    <row r="77" spans="1:41">
      <c r="A77" s="5"/>
      <c r="B77" s="33" t="s">
        <v>67</v>
      </c>
      <c r="C77" s="6"/>
      <c r="D77" s="6"/>
      <c r="E77" s="6"/>
      <c r="F77" s="6"/>
      <c r="G77" s="6"/>
      <c r="H77" s="6"/>
      <c r="I77" s="6"/>
      <c r="J77" s="6"/>
      <c r="K77" s="34"/>
      <c r="L77" s="6"/>
      <c r="M77" s="6"/>
      <c r="N77" s="6"/>
      <c r="O77" s="6"/>
      <c r="P77" s="7"/>
      <c r="Q77" s="5"/>
      <c r="R77" s="6"/>
      <c r="S77" s="6"/>
      <c r="T77" s="6"/>
      <c r="U77" s="6"/>
      <c r="V77" s="6"/>
      <c r="W77" s="6"/>
      <c r="X77" s="6"/>
      <c r="Y77" s="173"/>
      <c r="Z77" s="173"/>
      <c r="AA77" s="173"/>
      <c r="AB77" s="216" t="str">
        <f>CONCATENATE(R14,S14)</f>
        <v>20 uF</v>
      </c>
      <c r="AC77" s="216"/>
      <c r="AD77" s="173"/>
      <c r="AE77" s="173"/>
      <c r="AF77" s="173"/>
      <c r="AG77" s="173"/>
      <c r="AH77" s="173"/>
      <c r="AI77" s="173"/>
      <c r="AJ77" s="173"/>
      <c r="AK77" s="173"/>
      <c r="AL77" s="173"/>
      <c r="AM77" s="173"/>
      <c r="AN77" s="7"/>
      <c r="AO77" s="72"/>
    </row>
    <row r="78" spans="1:41">
      <c r="A78" s="5"/>
      <c r="B78" s="33"/>
      <c r="C78" s="6"/>
      <c r="D78" s="6"/>
      <c r="E78" s="6"/>
      <c r="F78" s="6"/>
      <c r="G78" s="6"/>
      <c r="H78" s="6"/>
      <c r="I78" s="6"/>
      <c r="J78" s="6"/>
      <c r="K78" s="34"/>
      <c r="L78" s="6"/>
      <c r="M78" s="6"/>
      <c r="N78" s="6"/>
      <c r="O78" s="6"/>
      <c r="P78" s="7"/>
      <c r="Q78" s="5"/>
      <c r="R78" s="6"/>
      <c r="S78" s="6"/>
      <c r="T78" s="6"/>
      <c r="U78" s="6"/>
      <c r="V78" s="6"/>
      <c r="W78" s="6"/>
      <c r="X78" s="6"/>
      <c r="Y78" s="173"/>
      <c r="Z78" s="173"/>
      <c r="AA78" s="173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  <c r="AL78" s="173"/>
      <c r="AM78" s="173"/>
      <c r="AN78" s="7"/>
      <c r="AO78" s="72"/>
    </row>
    <row r="79" spans="1:41">
      <c r="A79" s="5"/>
      <c r="B79" s="32" t="s">
        <v>40</v>
      </c>
      <c r="C79" s="6"/>
      <c r="D79" s="6"/>
      <c r="E79" s="6"/>
      <c r="F79" s="6"/>
      <c r="G79" s="6"/>
      <c r="H79" s="6"/>
      <c r="I79" s="6"/>
      <c r="J79" s="6"/>
      <c r="K79" s="34"/>
      <c r="L79" s="6"/>
      <c r="M79" s="6"/>
      <c r="N79" s="6"/>
      <c r="O79" s="6"/>
      <c r="P79" s="7"/>
      <c r="Q79" s="5"/>
      <c r="R79" s="6"/>
      <c r="S79" s="6"/>
      <c r="T79" s="6"/>
      <c r="U79" s="6"/>
      <c r="V79" s="6"/>
      <c r="W79" s="6"/>
      <c r="X79" s="6"/>
      <c r="Y79" s="173"/>
      <c r="Z79" s="173"/>
      <c r="AA79" s="173"/>
      <c r="AB79" s="173"/>
      <c r="AC79" s="173"/>
      <c r="AD79" s="173"/>
      <c r="AE79" s="173"/>
      <c r="AF79" s="217" t="str">
        <f>CONCATENATE(R10,S10)</f>
        <v>801 Ω</v>
      </c>
      <c r="AG79" s="217"/>
      <c r="AH79" s="173"/>
      <c r="AI79" s="173"/>
      <c r="AJ79" s="173"/>
      <c r="AK79" s="173"/>
      <c r="AL79" s="173"/>
      <c r="AM79" s="173"/>
      <c r="AN79" s="7"/>
      <c r="AO79" s="72"/>
    </row>
    <row r="80" spans="1:41">
      <c r="A80" s="5"/>
      <c r="B80" s="200" t="s">
        <v>114</v>
      </c>
      <c r="C80" s="200"/>
      <c r="D80" s="200"/>
      <c r="E80" s="6"/>
      <c r="F80" s="57">
        <f>F73/N44</f>
        <v>80.097087378640779</v>
      </c>
      <c r="G80" s="65" t="s">
        <v>4</v>
      </c>
      <c r="H80" s="6" t="s">
        <v>74</v>
      </c>
      <c r="I80" s="6"/>
      <c r="J80" s="6"/>
      <c r="K80" s="6"/>
      <c r="L80" s="6"/>
      <c r="M80" s="6"/>
      <c r="N80" s="6"/>
      <c r="O80" s="6"/>
      <c r="P80" s="7"/>
      <c r="Q80" s="5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7"/>
      <c r="AO80" s="72"/>
    </row>
    <row r="81" spans="1:41">
      <c r="A81" s="5"/>
      <c r="B81" s="200" t="s">
        <v>151</v>
      </c>
      <c r="C81" s="200"/>
      <c r="D81" s="200"/>
      <c r="E81" s="6"/>
      <c r="F81" s="58">
        <f>(1/(2*PI()*K6*F80))*10^6</f>
        <v>19.870253501169962</v>
      </c>
      <c r="G81" s="19" t="s">
        <v>14</v>
      </c>
      <c r="H81" s="30"/>
      <c r="I81" s="60">
        <f>ROUND(F81,0)</f>
        <v>20</v>
      </c>
      <c r="J81" s="68" t="s">
        <v>36</v>
      </c>
      <c r="K81" s="6"/>
      <c r="L81" s="6"/>
      <c r="M81" s="211"/>
      <c r="N81" s="211"/>
      <c r="O81" s="6"/>
      <c r="P81" s="7"/>
      <c r="Q81" s="5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7"/>
      <c r="AO81" s="72"/>
    </row>
    <row r="82" spans="1:41">
      <c r="A82" s="5"/>
      <c r="B82" s="200" t="s">
        <v>152</v>
      </c>
      <c r="C82" s="200"/>
      <c r="D82" s="200"/>
      <c r="E82" s="6"/>
      <c r="F82" s="57">
        <f>1/(2*PI()*K6*F81*10^-6)</f>
        <v>80.097087378640779</v>
      </c>
      <c r="G82" s="65" t="s">
        <v>4</v>
      </c>
      <c r="H82" s="141" t="s">
        <v>25</v>
      </c>
      <c r="I82" s="137" t="str">
        <f>+I49</f>
        <v>Ved Nedre Grænse frekvens i Hz 100</v>
      </c>
      <c r="J82" s="6"/>
      <c r="K82" s="6"/>
      <c r="L82" s="6"/>
      <c r="M82" s="6"/>
      <c r="N82" s="6"/>
      <c r="O82" s="6"/>
      <c r="P82" s="7"/>
      <c r="Q82" s="5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7"/>
    </row>
    <row r="83" spans="1:41">
      <c r="A83" s="5"/>
      <c r="B83" s="200" t="s">
        <v>153</v>
      </c>
      <c r="C83" s="200"/>
      <c r="D83" s="200"/>
      <c r="E83" s="6"/>
      <c r="F83" s="69">
        <f>1/(2*PI()*L6*F81*10^-6)</f>
        <v>0.26699029126213597</v>
      </c>
      <c r="G83" s="65" t="s">
        <v>4</v>
      </c>
      <c r="H83" s="141" t="s">
        <v>25</v>
      </c>
      <c r="I83" s="137" t="str">
        <f>+I50</f>
        <v>Ved Øvre Grænse frekvens i Hz 30000</v>
      </c>
      <c r="J83" s="6"/>
      <c r="K83" s="6"/>
      <c r="L83" s="6"/>
      <c r="M83" s="6"/>
      <c r="N83" s="6"/>
      <c r="O83" s="6"/>
      <c r="P83" s="7"/>
      <c r="Q83" s="5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7"/>
    </row>
    <row r="84" spans="1:41">
      <c r="A84" s="5"/>
      <c r="B84" s="137"/>
      <c r="C84" s="137"/>
      <c r="D84" s="137"/>
      <c r="E84" s="37"/>
      <c r="F84" s="25"/>
      <c r="G84" s="141"/>
      <c r="H84" s="6"/>
      <c r="I84" s="6"/>
      <c r="J84" s="6"/>
      <c r="K84" s="34"/>
      <c r="L84" s="36"/>
      <c r="M84" s="6"/>
      <c r="N84" s="6"/>
      <c r="O84" s="6"/>
      <c r="P84" s="7"/>
      <c r="Q84" s="5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7"/>
    </row>
    <row r="85" spans="1:41" ht="15.75">
      <c r="A85" s="5"/>
      <c r="B85" s="54" t="s">
        <v>77</v>
      </c>
      <c r="C85" s="137"/>
      <c r="D85" s="137"/>
      <c r="E85" s="37"/>
      <c r="F85" s="25"/>
      <c r="G85" s="141"/>
      <c r="H85" s="6"/>
      <c r="I85" s="6"/>
      <c r="J85" s="6"/>
      <c r="K85" s="34"/>
      <c r="L85" s="6"/>
      <c r="M85" s="6"/>
      <c r="N85" s="6"/>
      <c r="O85" s="6"/>
      <c r="P85" s="7"/>
      <c r="Q85" s="5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7"/>
    </row>
    <row r="86" spans="1:41">
      <c r="A86" s="5"/>
      <c r="B86" s="6" t="s">
        <v>129</v>
      </c>
      <c r="C86" s="6"/>
      <c r="D86" s="6"/>
      <c r="E86" s="6"/>
      <c r="F86" s="6"/>
      <c r="G86" s="6"/>
      <c r="H86" s="6"/>
      <c r="I86" s="6"/>
      <c r="J86" s="6" t="str">
        <f>CONCATENATE("Her ",K6," Hz")</f>
        <v>Her 100 Hz</v>
      </c>
      <c r="K86" s="34"/>
      <c r="L86" s="6"/>
      <c r="M86" s="6"/>
      <c r="N86" s="6"/>
      <c r="O86" s="6"/>
      <c r="P86" s="7"/>
      <c r="Q86" s="5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7"/>
    </row>
    <row r="87" spans="1:41">
      <c r="A87" s="5"/>
      <c r="B87" s="38" t="s">
        <v>89</v>
      </c>
      <c r="C87" s="6"/>
      <c r="D87" s="6"/>
      <c r="E87" s="6"/>
      <c r="F87" s="6"/>
      <c r="G87" s="6"/>
      <c r="H87" s="6"/>
      <c r="I87" s="6"/>
      <c r="J87" s="6"/>
      <c r="K87" s="34"/>
      <c r="L87" s="6"/>
      <c r="M87" s="22"/>
      <c r="N87" s="6"/>
      <c r="O87" s="6"/>
      <c r="P87" s="7"/>
      <c r="Q87" s="5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7"/>
    </row>
    <row r="88" spans="1:41">
      <c r="A88" s="5"/>
      <c r="B88" s="38"/>
      <c r="C88" s="6"/>
      <c r="D88" s="6"/>
      <c r="E88" s="6"/>
      <c r="F88" s="6"/>
      <c r="G88" s="6"/>
      <c r="H88" s="6"/>
      <c r="I88" s="6"/>
      <c r="J88" s="6"/>
      <c r="K88" s="34"/>
      <c r="L88" s="6"/>
      <c r="M88" s="6"/>
      <c r="N88" s="6"/>
      <c r="O88" s="6"/>
      <c r="P88" s="76"/>
      <c r="Q88" s="5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7"/>
    </row>
    <row r="89" spans="1:41">
      <c r="A89" s="5"/>
      <c r="B89" s="39" t="s">
        <v>90</v>
      </c>
      <c r="C89" s="6"/>
      <c r="D89" s="6"/>
      <c r="E89" s="6"/>
      <c r="F89" s="62">
        <f>1/((1/D27)+(1/D24)+(1/F90))</f>
        <v>947.02978722538944</v>
      </c>
      <c r="G89" s="65" t="s">
        <v>4</v>
      </c>
      <c r="H89" s="6"/>
      <c r="I89" s="60">
        <f>ROUND(F89,0)</f>
        <v>947</v>
      </c>
      <c r="J89" s="24" t="s">
        <v>34</v>
      </c>
      <c r="K89" s="6"/>
      <c r="L89" s="6"/>
      <c r="M89" s="6"/>
      <c r="N89" s="6"/>
      <c r="O89" s="6"/>
      <c r="P89" s="7"/>
      <c r="Q89" s="5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7"/>
    </row>
    <row r="90" spans="1:41">
      <c r="A90" s="5"/>
      <c r="B90" s="38" t="s">
        <v>141</v>
      </c>
      <c r="C90" s="39"/>
      <c r="D90" s="6"/>
      <c r="E90" s="6"/>
      <c r="F90" s="63">
        <f>F91*C6</f>
        <v>1136.1873299676713</v>
      </c>
      <c r="G90" s="65" t="s">
        <v>4</v>
      </c>
      <c r="H90" s="55"/>
      <c r="I90" s="60">
        <f>ROUND(F90,0)</f>
        <v>1136</v>
      </c>
      <c r="J90" s="24" t="s">
        <v>34</v>
      </c>
      <c r="K90" s="6"/>
      <c r="L90" s="6"/>
      <c r="M90" s="6"/>
      <c r="N90" s="6"/>
      <c r="O90" s="6"/>
      <c r="P90" s="7"/>
      <c r="Q90" s="5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7"/>
    </row>
    <row r="91" spans="1:41">
      <c r="A91" s="5"/>
      <c r="B91" s="38" t="s">
        <v>138</v>
      </c>
      <c r="C91" s="39" t="str">
        <f>+E33</f>
        <v>Vt/IE =</v>
      </c>
      <c r="D91" s="55" t="str">
        <f>CONCATENATE("( IE ",J12,G12," )")</f>
        <v>( IE  mA )</v>
      </c>
      <c r="E91" s="6"/>
      <c r="F91" s="64">
        <f>+L33/F12</f>
        <v>5.5423772193544938</v>
      </c>
      <c r="G91" s="65" t="s">
        <v>4</v>
      </c>
      <c r="H91" s="55"/>
      <c r="I91" s="61">
        <f>ROUND(F91,2)</f>
        <v>5.54</v>
      </c>
      <c r="J91" s="24" t="s">
        <v>34</v>
      </c>
      <c r="K91" s="6"/>
      <c r="L91" s="41"/>
      <c r="M91" s="6"/>
      <c r="N91" s="211"/>
      <c r="O91" s="211"/>
      <c r="P91" s="7"/>
      <c r="Q91" s="5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7"/>
    </row>
    <row r="92" spans="1:41">
      <c r="A92" s="5"/>
      <c r="B92" s="11" t="s">
        <v>130</v>
      </c>
      <c r="C92" s="11"/>
      <c r="D92" s="11"/>
      <c r="E92" s="6"/>
      <c r="F92" s="63">
        <f>+F89</f>
        <v>947.02978722538944</v>
      </c>
      <c r="G92" s="65" t="s">
        <v>4</v>
      </c>
      <c r="H92" s="6"/>
      <c r="I92" s="60">
        <f>ROUND(F92,0)</f>
        <v>947</v>
      </c>
      <c r="J92" s="24" t="s">
        <v>34</v>
      </c>
      <c r="K92" s="6"/>
      <c r="L92" s="6"/>
      <c r="M92" s="6"/>
      <c r="N92" s="6"/>
      <c r="O92" s="6"/>
      <c r="P92" s="7"/>
      <c r="Q92" s="5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7"/>
    </row>
    <row r="93" spans="1:41">
      <c r="A93" s="5"/>
      <c r="B93" s="200" t="s">
        <v>150</v>
      </c>
      <c r="C93" s="200"/>
      <c r="D93" s="200"/>
      <c r="E93" s="6"/>
      <c r="F93" s="64">
        <f>(1/(2*PI()*K6*F92))*10^6</f>
        <v>1.6805695579881172</v>
      </c>
      <c r="G93" s="19" t="s">
        <v>14</v>
      </c>
      <c r="H93" s="59"/>
      <c r="I93" s="61">
        <f>ROUND(F93,2)</f>
        <v>1.68</v>
      </c>
      <c r="J93" s="14" t="s">
        <v>44</v>
      </c>
      <c r="K93" s="6"/>
      <c r="L93" s="6"/>
      <c r="M93" s="6"/>
      <c r="N93" s="6"/>
      <c r="O93" s="6"/>
      <c r="P93" s="7"/>
      <c r="Q93" s="5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7"/>
    </row>
    <row r="94" spans="1:41">
      <c r="A94" s="5"/>
      <c r="B94" s="38"/>
      <c r="C94" s="39"/>
      <c r="D94" s="6"/>
      <c r="E94" s="40"/>
      <c r="F94" s="25"/>
      <c r="G94" s="55"/>
      <c r="H94" s="13"/>
      <c r="I94" s="20"/>
      <c r="J94" s="24"/>
      <c r="K94" s="56"/>
      <c r="L94" s="6"/>
      <c r="M94" s="6"/>
      <c r="N94" s="6"/>
      <c r="O94" s="6"/>
      <c r="P94" s="7"/>
      <c r="Q94" s="5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7"/>
    </row>
    <row r="95" spans="1:41" ht="15.75">
      <c r="A95" s="5"/>
      <c r="B95" s="54" t="s">
        <v>78</v>
      </c>
      <c r="C95" s="6"/>
      <c r="D95" s="6"/>
      <c r="E95" s="6"/>
      <c r="F95" s="6"/>
      <c r="G95" s="6"/>
      <c r="H95" s="6"/>
      <c r="I95" s="6"/>
      <c r="J95" s="6"/>
      <c r="K95" s="34"/>
      <c r="L95" s="6"/>
      <c r="M95" s="6"/>
      <c r="N95" s="6"/>
      <c r="O95" s="42"/>
      <c r="P95" s="7"/>
      <c r="Q95" s="5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7"/>
    </row>
    <row r="96" spans="1:41" ht="15.75">
      <c r="A96" s="5"/>
      <c r="B96" s="6" t="s">
        <v>170</v>
      </c>
      <c r="C96" s="6"/>
      <c r="D96" s="6"/>
      <c r="E96" s="6"/>
      <c r="F96" s="6"/>
      <c r="G96" s="6"/>
      <c r="H96" s="6"/>
      <c r="I96" s="40"/>
      <c r="J96" s="6"/>
      <c r="K96" s="34"/>
      <c r="L96" s="6"/>
      <c r="M96" s="6"/>
      <c r="N96" s="6"/>
      <c r="O96" s="42"/>
      <c r="P96" s="7"/>
      <c r="Q96" s="5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7"/>
    </row>
    <row r="97" spans="1:40" ht="15.75">
      <c r="A97" s="5"/>
      <c r="B97" s="200" t="s">
        <v>85</v>
      </c>
      <c r="C97" s="200"/>
      <c r="D97" s="200"/>
      <c r="E97" s="200"/>
      <c r="F97" s="64">
        <f>G6*F98/(G6+F98)</f>
        <v>0.99009900990099009</v>
      </c>
      <c r="G97" s="65" t="s">
        <v>81</v>
      </c>
      <c r="H97" s="6"/>
      <c r="I97" s="61">
        <f>ROUND(F97,2)</f>
        <v>0.99</v>
      </c>
      <c r="J97" s="67" t="s">
        <v>41</v>
      </c>
      <c r="K97" s="56"/>
      <c r="L97" s="6"/>
      <c r="M97" s="6"/>
      <c r="N97" s="6"/>
      <c r="O97" s="42"/>
      <c r="P97" s="7"/>
      <c r="Q97" s="5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7"/>
    </row>
    <row r="98" spans="1:40" ht="15.75">
      <c r="A98" s="5"/>
      <c r="B98" s="6" t="s">
        <v>79</v>
      </c>
      <c r="C98" s="6">
        <v>10</v>
      </c>
      <c r="D98" s="6" t="s">
        <v>140</v>
      </c>
      <c r="E98" s="6" t="s">
        <v>80</v>
      </c>
      <c r="F98" s="63">
        <f>(1/C98)*10^3</f>
        <v>100</v>
      </c>
      <c r="G98" s="65" t="s">
        <v>81</v>
      </c>
      <c r="H98" s="6"/>
      <c r="I98" s="22"/>
      <c r="J98" s="11"/>
      <c r="K98" s="34"/>
      <c r="L98" s="6"/>
      <c r="M98" s="6"/>
      <c r="N98" s="6"/>
      <c r="O98" s="42"/>
      <c r="P98" s="7"/>
      <c r="Q98" s="5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7"/>
    </row>
    <row r="99" spans="1:40" ht="15.75">
      <c r="A99" s="5"/>
      <c r="B99" s="6" t="s">
        <v>86</v>
      </c>
      <c r="C99" s="6"/>
      <c r="D99" s="6"/>
      <c r="E99" s="6"/>
      <c r="F99" s="63">
        <f>+J6</f>
        <v>10</v>
      </c>
      <c r="G99" s="65" t="s">
        <v>81</v>
      </c>
      <c r="H99" s="6"/>
      <c r="I99" s="60">
        <f>(ROUND(F99,0))*1000</f>
        <v>10000</v>
      </c>
      <c r="J99" s="67" t="s">
        <v>34</v>
      </c>
      <c r="K99" s="56"/>
      <c r="L99" s="6"/>
      <c r="M99" s="101"/>
      <c r="N99" s="6"/>
      <c r="O99" s="42"/>
      <c r="P99" s="7"/>
      <c r="Q99" s="5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7"/>
    </row>
    <row r="100" spans="1:40">
      <c r="A100" s="5"/>
      <c r="B100" s="200" t="s">
        <v>154</v>
      </c>
      <c r="C100" s="200"/>
      <c r="D100" s="200"/>
      <c r="E100" s="6"/>
      <c r="F100" s="66">
        <f>(1/(2*PI()*K6*I99))*10^6</f>
        <v>0.15915494309189532</v>
      </c>
      <c r="G100" s="19" t="s">
        <v>14</v>
      </c>
      <c r="H100" s="13"/>
      <c r="I100" s="61">
        <f>ROUND(F100,2)</f>
        <v>0.16</v>
      </c>
      <c r="J100" s="68" t="s">
        <v>44</v>
      </c>
      <c r="K100" s="56"/>
      <c r="L100" s="6"/>
      <c r="M100" s="6"/>
      <c r="N100" s="6"/>
      <c r="O100" s="6"/>
      <c r="P100" s="7"/>
      <c r="Q100" s="5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7"/>
    </row>
    <row r="101" spans="1:40" ht="15.75">
      <c r="A101" s="5"/>
      <c r="B101" s="209" t="s">
        <v>171</v>
      </c>
      <c r="C101" s="20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6"/>
      <c r="O101" s="6"/>
      <c r="P101" s="7"/>
      <c r="Q101" s="5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7"/>
    </row>
    <row r="102" spans="1:40" ht="15.75">
      <c r="A102" s="5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6"/>
      <c r="O102" s="6"/>
      <c r="P102" s="7"/>
      <c r="Q102" s="5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7"/>
    </row>
    <row r="103" spans="1:40">
      <c r="A103" s="5"/>
      <c r="B103" s="6" t="s">
        <v>172</v>
      </c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7"/>
      <c r="Q103" s="5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7"/>
    </row>
    <row r="104" spans="1:40" ht="14.45" customHeight="1">
      <c r="A104" s="5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7"/>
      <c r="Q104" s="5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7"/>
    </row>
    <row r="105" spans="1:40" ht="15.75" thickBot="1">
      <c r="A105" s="44"/>
      <c r="B105" s="91" t="s">
        <v>51</v>
      </c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229" t="s">
        <v>52</v>
      </c>
      <c r="O105" s="229"/>
      <c r="P105" s="230"/>
      <c r="Q105" s="44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86"/>
    </row>
    <row r="106" spans="1:40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85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</row>
    <row r="107" spans="1:40" ht="15.75">
      <c r="A107" s="5"/>
      <c r="B107" s="198" t="s">
        <v>117</v>
      </c>
      <c r="C107" s="198"/>
      <c r="D107" s="198"/>
      <c r="E107" s="198"/>
      <c r="F107" s="198"/>
      <c r="G107" s="198"/>
      <c r="H107" s="198"/>
      <c r="I107" s="198"/>
      <c r="J107" s="198"/>
      <c r="K107" s="198"/>
      <c r="L107" s="198"/>
      <c r="M107" s="198"/>
      <c r="N107" s="198"/>
      <c r="O107" s="198"/>
      <c r="P107" s="199"/>
      <c r="V107" s="122"/>
    </row>
    <row r="108" spans="1:40">
      <c r="A108" s="5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7"/>
      <c r="V108" s="122"/>
    </row>
    <row r="109" spans="1:40">
      <c r="A109" s="5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7"/>
      <c r="V109" s="122"/>
    </row>
    <row r="110" spans="1:40">
      <c r="A110" s="5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7"/>
      <c r="V110" s="122"/>
    </row>
    <row r="111" spans="1:40">
      <c r="A111" s="5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7"/>
      <c r="V111" s="122"/>
    </row>
    <row r="112" spans="1:40">
      <c r="A112" s="5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7"/>
      <c r="V112" s="122"/>
    </row>
    <row r="113" spans="1:22">
      <c r="A113" s="5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7"/>
      <c r="V113" s="122"/>
    </row>
    <row r="114" spans="1:22">
      <c r="A114" s="5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7"/>
      <c r="V114" s="122"/>
    </row>
    <row r="115" spans="1:22">
      <c r="A115" s="5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7"/>
      <c r="V115" s="122"/>
    </row>
    <row r="116" spans="1:22">
      <c r="A116" s="5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7"/>
      <c r="V116" s="122"/>
    </row>
    <row r="117" spans="1:22">
      <c r="A117" s="5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7"/>
      <c r="V117" s="122"/>
    </row>
    <row r="118" spans="1:22">
      <c r="A118" s="5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7"/>
      <c r="V118" s="122"/>
    </row>
    <row r="119" spans="1:22">
      <c r="A119" s="5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7"/>
      <c r="V119" s="122"/>
    </row>
    <row r="120" spans="1:22">
      <c r="A120" s="5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7"/>
      <c r="V120" s="122"/>
    </row>
    <row r="121" spans="1:22">
      <c r="A121" s="5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7"/>
      <c r="V121" s="122"/>
    </row>
    <row r="122" spans="1:22">
      <c r="A122" s="5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7"/>
      <c r="V122" s="122"/>
    </row>
    <row r="123" spans="1:22">
      <c r="A123" s="5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7"/>
      <c r="V123" s="122"/>
    </row>
    <row r="124" spans="1:22">
      <c r="A124" s="5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7"/>
      <c r="V124" s="122"/>
    </row>
    <row r="125" spans="1:22">
      <c r="A125" s="5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7"/>
      <c r="V125" s="122"/>
    </row>
    <row r="126" spans="1:22">
      <c r="A126" s="5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7"/>
      <c r="V126" s="122"/>
    </row>
    <row r="127" spans="1:22">
      <c r="A127" s="5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7"/>
      <c r="V127" s="122"/>
    </row>
    <row r="128" spans="1:22">
      <c r="A128" s="5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7"/>
      <c r="V128" s="122"/>
    </row>
    <row r="129" spans="1:22">
      <c r="A129" s="5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7"/>
      <c r="V129" s="122"/>
    </row>
    <row r="130" spans="1:22">
      <c r="A130" s="5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7"/>
      <c r="V130" s="122"/>
    </row>
    <row r="131" spans="1:22" ht="15.75">
      <c r="A131" s="5"/>
      <c r="B131" s="198" t="s">
        <v>68</v>
      </c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9"/>
      <c r="V131" s="122"/>
    </row>
    <row r="132" spans="1:22">
      <c r="A132" s="5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7"/>
      <c r="V132" s="122"/>
    </row>
    <row r="133" spans="1:22">
      <c r="A133" s="5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7"/>
      <c r="V133" s="122"/>
    </row>
    <row r="134" spans="1:22">
      <c r="A134" s="5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7"/>
      <c r="V134" s="122"/>
    </row>
    <row r="135" spans="1:22">
      <c r="A135" s="5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7"/>
      <c r="V135" s="122"/>
    </row>
    <row r="136" spans="1:22">
      <c r="A136" s="5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7"/>
      <c r="V136" s="122"/>
    </row>
    <row r="137" spans="1:22">
      <c r="A137" s="5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7"/>
      <c r="V137" s="122"/>
    </row>
    <row r="138" spans="1:22">
      <c r="A138" s="5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7"/>
      <c r="V138" s="122"/>
    </row>
    <row r="139" spans="1:22">
      <c r="A139" s="5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7"/>
      <c r="V139" s="122"/>
    </row>
    <row r="140" spans="1:22">
      <c r="A140" s="5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7"/>
      <c r="V140" s="122"/>
    </row>
    <row r="141" spans="1:22">
      <c r="A141" s="5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7"/>
      <c r="V141" s="122"/>
    </row>
    <row r="142" spans="1:22">
      <c r="A142" s="5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7"/>
      <c r="V142" s="122"/>
    </row>
    <row r="143" spans="1:22">
      <c r="A143" s="5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7"/>
      <c r="V143" s="122"/>
    </row>
    <row r="144" spans="1:22">
      <c r="A144" s="5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7"/>
      <c r="V144" s="122"/>
    </row>
    <row r="145" spans="1:22">
      <c r="A145" s="5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7"/>
      <c r="V145" s="122"/>
    </row>
    <row r="146" spans="1:22">
      <c r="A146" s="5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7"/>
      <c r="V146" s="122"/>
    </row>
    <row r="147" spans="1:22">
      <c r="A147" s="5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7"/>
      <c r="V147" s="122"/>
    </row>
    <row r="148" spans="1:22">
      <c r="A148" s="5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7"/>
      <c r="V148" s="122"/>
    </row>
    <row r="149" spans="1:22">
      <c r="A149" s="5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7"/>
      <c r="V149" s="122"/>
    </row>
    <row r="150" spans="1:22">
      <c r="A150" s="5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7"/>
      <c r="V150" s="122"/>
    </row>
    <row r="151" spans="1:22">
      <c r="A151" s="5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7"/>
      <c r="V151" s="122"/>
    </row>
    <row r="152" spans="1:22" ht="15.75">
      <c r="A152" s="5"/>
      <c r="B152" s="80" t="s">
        <v>57</v>
      </c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7"/>
      <c r="V152" s="122"/>
    </row>
    <row r="153" spans="1:22">
      <c r="A153" s="5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7"/>
      <c r="V153" s="122"/>
    </row>
    <row r="154" spans="1:22" ht="15.75">
      <c r="A154" s="5"/>
      <c r="B154" s="198" t="s">
        <v>206</v>
      </c>
      <c r="C154" s="198"/>
      <c r="D154" s="198"/>
      <c r="E154" s="198"/>
      <c r="F154" s="198"/>
      <c r="G154" s="198"/>
      <c r="H154" s="198"/>
      <c r="I154" s="198"/>
      <c r="J154" s="198"/>
      <c r="K154" s="198"/>
      <c r="L154" s="198"/>
      <c r="M154" s="198"/>
      <c r="N154" s="198"/>
      <c r="O154" s="198"/>
      <c r="P154" s="199"/>
      <c r="V154" s="122"/>
    </row>
    <row r="155" spans="1:22">
      <c r="A155" s="5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7"/>
      <c r="V155" s="122"/>
    </row>
    <row r="156" spans="1:22">
      <c r="A156" s="5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7"/>
      <c r="V156" s="122"/>
    </row>
    <row r="157" spans="1:22">
      <c r="A157" s="5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7"/>
      <c r="V157" s="122"/>
    </row>
    <row r="158" spans="1:22">
      <c r="A158" s="5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7"/>
      <c r="V158" s="122"/>
    </row>
    <row r="159" spans="1:22">
      <c r="A159" s="5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7"/>
      <c r="V159" s="122"/>
    </row>
    <row r="160" spans="1:22">
      <c r="A160" s="5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7"/>
      <c r="V160" s="122"/>
    </row>
    <row r="161" spans="1:22">
      <c r="A161" s="5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7"/>
      <c r="V161" s="122"/>
    </row>
    <row r="162" spans="1:22">
      <c r="A162" s="5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7"/>
      <c r="V162" s="122"/>
    </row>
    <row r="163" spans="1:22">
      <c r="A163" s="5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7"/>
      <c r="V163" s="122"/>
    </row>
    <row r="164" spans="1:22">
      <c r="A164" s="5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7"/>
      <c r="V164" s="122"/>
    </row>
    <row r="165" spans="1:22">
      <c r="A165" s="5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7"/>
      <c r="V165" s="122"/>
    </row>
    <row r="166" spans="1:22">
      <c r="A166" s="5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7"/>
      <c r="V166" s="122"/>
    </row>
    <row r="167" spans="1:22">
      <c r="A167" s="5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7"/>
      <c r="V167" s="122"/>
    </row>
    <row r="168" spans="1:22">
      <c r="A168" s="5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7"/>
      <c r="V168" s="122"/>
    </row>
    <row r="169" spans="1:22">
      <c r="A169" s="5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7"/>
      <c r="V169" s="122"/>
    </row>
    <row r="170" spans="1:22">
      <c r="A170" s="5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7"/>
      <c r="V170" s="122"/>
    </row>
    <row r="171" spans="1:22">
      <c r="A171" s="5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7"/>
      <c r="V171" s="122"/>
    </row>
    <row r="172" spans="1:22">
      <c r="A172" s="5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7"/>
      <c r="V172" s="122"/>
    </row>
    <row r="173" spans="1:22">
      <c r="A173" s="5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7"/>
      <c r="V173" s="122"/>
    </row>
    <row r="174" spans="1:22">
      <c r="A174" s="5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7"/>
      <c r="V174" s="122"/>
    </row>
    <row r="175" spans="1:22" ht="15.75">
      <c r="A175" s="5"/>
      <c r="B175" s="89" t="s">
        <v>58</v>
      </c>
      <c r="C175" s="6"/>
      <c r="D175" s="92" t="s">
        <v>61</v>
      </c>
      <c r="E175" s="93">
        <v>1</v>
      </c>
      <c r="F175" s="92" t="s">
        <v>62</v>
      </c>
      <c r="G175" s="93">
        <v>-1</v>
      </c>
      <c r="H175" s="94">
        <f>E175-G175</f>
        <v>2</v>
      </c>
      <c r="I175" s="89" t="s">
        <v>60</v>
      </c>
      <c r="J175" s="95">
        <f>H175/(2*SQRT(2))</f>
        <v>0.70710678118654746</v>
      </c>
      <c r="K175" s="89" t="s">
        <v>59</v>
      </c>
      <c r="L175" s="139"/>
      <c r="M175" s="139"/>
      <c r="N175" s="96"/>
      <c r="O175" s="100"/>
      <c r="P175" s="7"/>
      <c r="V175" s="122"/>
    </row>
    <row r="176" spans="1:22" ht="15.75">
      <c r="A176" s="5"/>
      <c r="B176" s="89" t="s">
        <v>63</v>
      </c>
      <c r="C176" s="6"/>
      <c r="D176" s="92" t="s">
        <v>61</v>
      </c>
      <c r="E176" s="93">
        <v>4.4999000000000002</v>
      </c>
      <c r="F176" s="92" t="s">
        <v>62</v>
      </c>
      <c r="G176" s="93">
        <v>-4.2488000000000001</v>
      </c>
      <c r="H176" s="94">
        <f>E176-G176</f>
        <v>8.7486999999999995</v>
      </c>
      <c r="I176" s="89" t="s">
        <v>60</v>
      </c>
      <c r="J176" s="95">
        <f>H176/(2*SQRT(2))</f>
        <v>3.0931325482833736</v>
      </c>
      <c r="K176" s="89" t="s">
        <v>59</v>
      </c>
      <c r="L176" s="93" t="s">
        <v>64</v>
      </c>
      <c r="M176" s="139"/>
      <c r="N176" s="96">
        <f>H176/H175</f>
        <v>4.3743499999999997</v>
      </c>
      <c r="O176" s="100">
        <f>J176/J175</f>
        <v>4.3743499999999997</v>
      </c>
      <c r="P176" s="7"/>
      <c r="V176" s="122"/>
    </row>
    <row r="177" spans="1:22" ht="15.75">
      <c r="A177" s="5"/>
      <c r="B177" s="89" t="s">
        <v>65</v>
      </c>
      <c r="C177" s="6"/>
      <c r="D177" s="92" t="s">
        <v>61</v>
      </c>
      <c r="E177" s="93">
        <v>4.1978</v>
      </c>
      <c r="F177" s="92" t="s">
        <v>62</v>
      </c>
      <c r="G177" s="93">
        <v>-3.9493</v>
      </c>
      <c r="H177" s="94">
        <f>E177-G177</f>
        <v>8.1471</v>
      </c>
      <c r="I177" s="89" t="s">
        <v>60</v>
      </c>
      <c r="J177" s="95">
        <f>H177/(2*SQRT(2))</f>
        <v>2.8804348285024606</v>
      </c>
      <c r="K177" s="89" t="s">
        <v>59</v>
      </c>
      <c r="L177" s="93" t="s">
        <v>64</v>
      </c>
      <c r="M177" s="139"/>
      <c r="N177" s="96">
        <f>H177/H175</f>
        <v>4.07355</v>
      </c>
      <c r="O177" s="100">
        <f>J177/J175</f>
        <v>4.07355</v>
      </c>
      <c r="P177" s="7"/>
      <c r="V177" s="122"/>
    </row>
    <row r="178" spans="1:22" ht="15.75">
      <c r="A178" s="5"/>
      <c r="B178" s="89"/>
      <c r="C178" s="6"/>
      <c r="D178" s="92"/>
      <c r="E178" s="93"/>
      <c r="F178" s="92"/>
      <c r="G178" s="93"/>
      <c r="H178" s="94"/>
      <c r="I178" s="89"/>
      <c r="J178" s="95"/>
      <c r="K178" s="89"/>
      <c r="L178" s="93"/>
      <c r="M178" s="139"/>
      <c r="N178" s="96"/>
      <c r="O178" s="100"/>
      <c r="P178" s="7"/>
      <c r="V178" s="122"/>
    </row>
    <row r="179" spans="1:22" ht="15.75">
      <c r="A179" s="5"/>
      <c r="B179" s="89"/>
      <c r="C179" s="6"/>
      <c r="D179" s="92"/>
      <c r="E179" s="93"/>
      <c r="F179" s="92"/>
      <c r="G179" s="93"/>
      <c r="H179" s="94"/>
      <c r="I179" s="89"/>
      <c r="J179" s="95"/>
      <c r="K179" s="89"/>
      <c r="L179" s="93"/>
      <c r="M179" s="139"/>
      <c r="N179" s="96"/>
      <c r="O179" s="100"/>
      <c r="P179" s="7"/>
      <c r="V179" s="122"/>
    </row>
    <row r="180" spans="1:22" ht="15.75">
      <c r="A180" s="5"/>
      <c r="B180" s="198" t="s">
        <v>207</v>
      </c>
      <c r="C180" s="198"/>
      <c r="D180" s="198"/>
      <c r="E180" s="198"/>
      <c r="F180" s="198"/>
      <c r="G180" s="198"/>
      <c r="H180" s="198"/>
      <c r="I180" s="198"/>
      <c r="J180" s="198"/>
      <c r="K180" s="198"/>
      <c r="L180" s="198"/>
      <c r="M180" s="198"/>
      <c r="N180" s="198"/>
      <c r="O180" s="198"/>
      <c r="P180" s="199"/>
      <c r="V180" s="122"/>
    </row>
    <row r="181" spans="1:22">
      <c r="A181" s="5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7"/>
      <c r="V181" s="122"/>
    </row>
    <row r="182" spans="1:22">
      <c r="A182" s="5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7"/>
      <c r="V182" s="122"/>
    </row>
    <row r="183" spans="1:22">
      <c r="A183" s="5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7"/>
      <c r="V183" s="122"/>
    </row>
    <row r="184" spans="1:22">
      <c r="A184" s="5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7"/>
      <c r="V184" s="122"/>
    </row>
    <row r="185" spans="1:22">
      <c r="A185" s="5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7"/>
      <c r="V185" s="122"/>
    </row>
    <row r="186" spans="1:22">
      <c r="A186" s="5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7"/>
      <c r="V186" s="122"/>
    </row>
    <row r="187" spans="1:22">
      <c r="A187" s="5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7"/>
      <c r="V187" s="122"/>
    </row>
    <row r="188" spans="1:22">
      <c r="A188" s="5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7"/>
      <c r="V188" s="122"/>
    </row>
    <row r="189" spans="1:22">
      <c r="A189" s="5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7"/>
      <c r="V189" s="122"/>
    </row>
    <row r="190" spans="1:22">
      <c r="A190" s="5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7"/>
      <c r="V190" s="122"/>
    </row>
    <row r="191" spans="1:22">
      <c r="A191" s="5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7"/>
      <c r="V191" s="122"/>
    </row>
    <row r="192" spans="1:22">
      <c r="A192" s="5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7"/>
      <c r="V192" s="122"/>
    </row>
    <row r="193" spans="1:22">
      <c r="A193" s="5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7"/>
      <c r="V193" s="122"/>
    </row>
    <row r="194" spans="1:22">
      <c r="A194" s="5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7"/>
      <c r="V194" s="122"/>
    </row>
    <row r="195" spans="1:22">
      <c r="A195" s="5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7"/>
      <c r="V195" s="122"/>
    </row>
    <row r="196" spans="1:22">
      <c r="A196" s="5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7"/>
      <c r="V196" s="122"/>
    </row>
    <row r="197" spans="1:22">
      <c r="A197" s="5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7"/>
      <c r="V197" s="122"/>
    </row>
    <row r="198" spans="1:22">
      <c r="A198" s="5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7"/>
      <c r="V198" s="122"/>
    </row>
    <row r="199" spans="1:22">
      <c r="A199" s="5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7"/>
      <c r="V199" s="122"/>
    </row>
    <row r="200" spans="1:22">
      <c r="A200" s="5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7"/>
      <c r="V200" s="122"/>
    </row>
    <row r="201" spans="1:22" ht="15.75">
      <c r="A201" s="5"/>
      <c r="B201" s="89" t="s">
        <v>63</v>
      </c>
      <c r="C201" s="6"/>
      <c r="D201" s="92" t="s">
        <v>61</v>
      </c>
      <c r="E201" s="93">
        <v>151.88</v>
      </c>
      <c r="F201" s="92" t="s">
        <v>62</v>
      </c>
      <c r="G201" s="93">
        <v>-155.36000000000001</v>
      </c>
      <c r="H201" s="94">
        <f>E201-G201</f>
        <v>307.24</v>
      </c>
      <c r="I201" s="89" t="s">
        <v>60</v>
      </c>
      <c r="J201" s="95">
        <f>H201/(2*SQRT(2))</f>
        <v>108.62574372587743</v>
      </c>
      <c r="K201" s="89" t="s">
        <v>59</v>
      </c>
      <c r="L201" s="93" t="s">
        <v>64</v>
      </c>
      <c r="M201" s="139"/>
      <c r="N201" s="96">
        <f>H201/H175</f>
        <v>153.62</v>
      </c>
      <c r="O201" s="100">
        <f>J201/J175</f>
        <v>153.62</v>
      </c>
      <c r="P201" s="7"/>
      <c r="V201" s="122"/>
    </row>
    <row r="202" spans="1:22" ht="15.75">
      <c r="A202" s="5"/>
      <c r="B202" s="89"/>
      <c r="C202" s="6"/>
      <c r="D202" s="92"/>
      <c r="E202" s="93"/>
      <c r="F202" s="92"/>
      <c r="G202" s="93"/>
      <c r="H202" s="89"/>
      <c r="I202" s="94"/>
      <c r="J202" s="89"/>
      <c r="K202" s="95"/>
      <c r="L202" s="89"/>
      <c r="M202" s="139"/>
      <c r="N202" s="139"/>
      <c r="O202" s="96"/>
      <c r="P202" s="7"/>
      <c r="V202" s="122"/>
    </row>
    <row r="203" spans="1:22" ht="15.75">
      <c r="A203" s="5"/>
      <c r="B203" s="89"/>
      <c r="C203" s="6"/>
      <c r="D203" s="92"/>
      <c r="E203" s="93"/>
      <c r="F203" s="92"/>
      <c r="G203" s="93"/>
      <c r="H203" s="89"/>
      <c r="I203" s="94"/>
      <c r="J203" s="89"/>
      <c r="K203" s="95"/>
      <c r="L203" s="89"/>
      <c r="M203" s="139"/>
      <c r="N203" s="139"/>
      <c r="O203" s="96"/>
      <c r="P203" s="97"/>
      <c r="V203" s="122"/>
    </row>
    <row r="204" spans="1:22" ht="15.75">
      <c r="A204" s="5"/>
      <c r="B204" s="198" t="s">
        <v>133</v>
      </c>
      <c r="C204" s="198"/>
      <c r="D204" s="198"/>
      <c r="E204" s="198"/>
      <c r="F204" s="198"/>
      <c r="G204" s="198"/>
      <c r="H204" s="198"/>
      <c r="I204" s="198"/>
      <c r="J204" s="198"/>
      <c r="K204" s="198"/>
      <c r="L204" s="198"/>
      <c r="M204" s="198"/>
      <c r="N204" s="198"/>
      <c r="O204" s="198"/>
      <c r="P204" s="199"/>
      <c r="V204" s="122"/>
    </row>
    <row r="205" spans="1:22">
      <c r="A205" s="5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7"/>
      <c r="V205" s="122"/>
    </row>
    <row r="206" spans="1:22">
      <c r="A206" s="5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7"/>
      <c r="V206" s="122"/>
    </row>
    <row r="207" spans="1:22">
      <c r="A207" s="5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7"/>
      <c r="V207" s="122"/>
    </row>
    <row r="208" spans="1:22">
      <c r="A208" s="5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7"/>
      <c r="V208" s="122"/>
    </row>
    <row r="209" spans="1:22">
      <c r="A209" s="5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7"/>
      <c r="V209" s="122"/>
    </row>
    <row r="210" spans="1:22">
      <c r="A210" s="5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7"/>
      <c r="V210" s="122"/>
    </row>
    <row r="211" spans="1:22">
      <c r="A211" s="5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7"/>
      <c r="V211" s="122"/>
    </row>
    <row r="212" spans="1:22">
      <c r="A212" s="5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7"/>
      <c r="V212" s="122"/>
    </row>
    <row r="213" spans="1:22">
      <c r="A213" s="5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7"/>
      <c r="V213" s="122"/>
    </row>
    <row r="214" spans="1:22">
      <c r="A214" s="5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7"/>
      <c r="V214" s="122"/>
    </row>
    <row r="215" spans="1:22">
      <c r="A215" s="5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7"/>
      <c r="V215" s="122"/>
    </row>
    <row r="216" spans="1:22">
      <c r="A216" s="5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7"/>
      <c r="V216" s="122"/>
    </row>
    <row r="217" spans="1:22">
      <c r="A217" s="5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7"/>
      <c r="V217" s="122"/>
    </row>
    <row r="218" spans="1:22">
      <c r="A218" s="5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7"/>
      <c r="V218" s="122"/>
    </row>
    <row r="219" spans="1:22">
      <c r="A219" s="5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7"/>
      <c r="V219" s="122"/>
    </row>
    <row r="220" spans="1:22">
      <c r="A220" s="5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7"/>
      <c r="V220" s="122"/>
    </row>
    <row r="221" spans="1:22">
      <c r="A221" s="5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7"/>
      <c r="V221" s="122"/>
    </row>
    <row r="222" spans="1:22">
      <c r="A222" s="5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7"/>
      <c r="V222" s="122"/>
    </row>
    <row r="223" spans="1:22" ht="15.75">
      <c r="A223" s="5"/>
      <c r="B223" s="89"/>
      <c r="C223" s="92"/>
      <c r="D223" s="93"/>
      <c r="E223" s="92"/>
      <c r="F223" s="93"/>
      <c r="G223" s="89"/>
      <c r="H223" s="89"/>
      <c r="I223" s="94"/>
      <c r="J223" s="89"/>
      <c r="K223" s="95"/>
      <c r="L223" s="89"/>
      <c r="M223" s="209"/>
      <c r="N223" s="209"/>
      <c r="O223" s="98"/>
      <c r="P223" s="99"/>
      <c r="V223" s="122"/>
    </row>
    <row r="224" spans="1:22" ht="15.75">
      <c r="A224" s="5"/>
      <c r="B224" s="89"/>
      <c r="C224" s="92"/>
      <c r="D224" s="93"/>
      <c r="E224" s="92"/>
      <c r="F224" s="93"/>
      <c r="G224" s="89"/>
      <c r="H224" s="89"/>
      <c r="I224" s="94"/>
      <c r="J224" s="89"/>
      <c r="K224" s="95"/>
      <c r="L224" s="89"/>
      <c r="M224" s="139"/>
      <c r="N224" s="139"/>
      <c r="O224" s="98"/>
      <c r="P224" s="99"/>
      <c r="V224" s="122"/>
    </row>
    <row r="225" spans="1:22" ht="15.75">
      <c r="A225" s="5"/>
      <c r="B225" s="198" t="s">
        <v>134</v>
      </c>
      <c r="C225" s="198"/>
      <c r="D225" s="198"/>
      <c r="E225" s="198"/>
      <c r="F225" s="198"/>
      <c r="G225" s="198"/>
      <c r="H225" s="198"/>
      <c r="I225" s="198"/>
      <c r="J225" s="198"/>
      <c r="K225" s="198"/>
      <c r="L225" s="198"/>
      <c r="M225" s="198"/>
      <c r="N225" s="198"/>
      <c r="O225" s="198"/>
      <c r="P225" s="199"/>
      <c r="V225" s="122"/>
    </row>
    <row r="226" spans="1:22">
      <c r="A226" s="5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7"/>
      <c r="V226" s="122"/>
    </row>
    <row r="227" spans="1:22">
      <c r="A227" s="5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7"/>
      <c r="V227" s="122"/>
    </row>
    <row r="228" spans="1:22">
      <c r="A228" s="5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7"/>
      <c r="V228" s="122"/>
    </row>
    <row r="229" spans="1:22">
      <c r="A229" s="5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7"/>
      <c r="V229" s="122"/>
    </row>
    <row r="230" spans="1:22">
      <c r="A230" s="5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7"/>
      <c r="V230" s="122"/>
    </row>
    <row r="231" spans="1:22">
      <c r="A231" s="5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7"/>
      <c r="V231" s="122"/>
    </row>
    <row r="232" spans="1:22">
      <c r="A232" s="5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7"/>
      <c r="V232" s="122"/>
    </row>
    <row r="233" spans="1:22">
      <c r="A233" s="5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7"/>
      <c r="V233" s="122"/>
    </row>
    <row r="234" spans="1:22">
      <c r="A234" s="5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7"/>
      <c r="V234" s="122"/>
    </row>
    <row r="235" spans="1:22">
      <c r="A235" s="5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7"/>
      <c r="V235" s="122"/>
    </row>
    <row r="236" spans="1:22">
      <c r="A236" s="5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7"/>
      <c r="V236" s="122"/>
    </row>
    <row r="237" spans="1:22">
      <c r="A237" s="5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7"/>
      <c r="V237" s="122"/>
    </row>
    <row r="238" spans="1:22">
      <c r="A238" s="5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7"/>
      <c r="V238" s="122"/>
    </row>
    <row r="239" spans="1:22">
      <c r="A239" s="5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7"/>
      <c r="V239" s="122"/>
    </row>
    <row r="240" spans="1:22">
      <c r="A240" s="5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7"/>
      <c r="V240" s="122"/>
    </row>
    <row r="241" spans="1:22">
      <c r="A241" s="5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7"/>
      <c r="V241" s="122"/>
    </row>
    <row r="242" spans="1:22">
      <c r="A242" s="5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7"/>
      <c r="V242" s="122"/>
    </row>
    <row r="243" spans="1:22">
      <c r="A243" s="5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7"/>
      <c r="V243" s="122"/>
    </row>
    <row r="244" spans="1:22">
      <c r="A244" s="5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7"/>
      <c r="V244" s="122"/>
    </row>
    <row r="245" spans="1:22" ht="15.75">
      <c r="A245" s="5"/>
      <c r="B245" s="89"/>
      <c r="C245" s="92"/>
      <c r="D245" s="93"/>
      <c r="E245" s="92"/>
      <c r="F245" s="93"/>
      <c r="G245" s="89"/>
      <c r="H245" s="89"/>
      <c r="I245" s="94"/>
      <c r="J245" s="89"/>
      <c r="K245" s="95"/>
      <c r="L245" s="89"/>
      <c r="M245" s="209"/>
      <c r="N245" s="209"/>
      <c r="O245" s="96"/>
      <c r="P245" s="97"/>
      <c r="V245" s="122"/>
    </row>
    <row r="246" spans="1:22" ht="15.75">
      <c r="A246" s="5"/>
      <c r="B246" s="89"/>
      <c r="C246" s="92"/>
      <c r="D246" s="93"/>
      <c r="E246" s="92"/>
      <c r="F246" s="93"/>
      <c r="G246" s="89"/>
      <c r="H246" s="89"/>
      <c r="I246" s="94"/>
      <c r="J246" s="89"/>
      <c r="K246" s="95"/>
      <c r="L246" s="89"/>
      <c r="M246" s="209"/>
      <c r="N246" s="209"/>
      <c r="O246" s="96"/>
      <c r="P246" s="97"/>
      <c r="V246" s="122"/>
    </row>
    <row r="247" spans="1:22" ht="15.75">
      <c r="A247" s="5"/>
      <c r="B247" s="198" t="s">
        <v>135</v>
      </c>
      <c r="C247" s="198"/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  <c r="N247" s="198"/>
      <c r="O247" s="198"/>
      <c r="P247" s="199"/>
      <c r="V247" s="122"/>
    </row>
    <row r="248" spans="1:22">
      <c r="A248" s="5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7"/>
      <c r="V248" s="122"/>
    </row>
    <row r="249" spans="1:22" ht="15.75">
      <c r="A249" s="5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4"/>
      <c r="V249" s="122"/>
    </row>
    <row r="250" spans="1:22">
      <c r="A250" s="5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7"/>
      <c r="V250" s="122"/>
    </row>
    <row r="251" spans="1:22">
      <c r="A251" s="5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7"/>
      <c r="V251" s="122"/>
    </row>
    <row r="252" spans="1:22">
      <c r="A252" s="5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7"/>
      <c r="V252" s="122"/>
    </row>
    <row r="253" spans="1:22">
      <c r="A253" s="5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7"/>
      <c r="V253" s="122"/>
    </row>
    <row r="254" spans="1:22">
      <c r="A254" s="5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7"/>
      <c r="V254" s="122"/>
    </row>
    <row r="255" spans="1:22">
      <c r="A255" s="5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7"/>
      <c r="V255" s="122"/>
    </row>
    <row r="256" spans="1:22">
      <c r="A256" s="5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7"/>
      <c r="V256" s="122"/>
    </row>
    <row r="257" spans="1:22">
      <c r="A257" s="5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7"/>
      <c r="V257" s="122"/>
    </row>
    <row r="258" spans="1:22">
      <c r="A258" s="5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7"/>
    </row>
    <row r="259" spans="1:22">
      <c r="A259" s="5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7"/>
    </row>
    <row r="260" spans="1:22">
      <c r="A260" s="5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7"/>
    </row>
    <row r="261" spans="1:22">
      <c r="A261" s="5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7"/>
    </row>
    <row r="262" spans="1:22">
      <c r="A262" s="5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7"/>
    </row>
    <row r="263" spans="1:22">
      <c r="A263" s="5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7"/>
    </row>
    <row r="264" spans="1:22">
      <c r="A264" s="5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7"/>
    </row>
    <row r="265" spans="1:22">
      <c r="A265" s="5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7"/>
    </row>
    <row r="266" spans="1:22">
      <c r="A266" s="5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7"/>
    </row>
    <row r="267" spans="1:22">
      <c r="A267" s="5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7"/>
    </row>
    <row r="268" spans="1:22" ht="15.75" thickBot="1">
      <c r="A268" s="44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86"/>
    </row>
    <row r="269" spans="1:22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85"/>
      <c r="Q269" s="81"/>
    </row>
    <row r="270" spans="1:22" ht="15.75">
      <c r="A270" s="5"/>
      <c r="B270" s="198" t="s">
        <v>164</v>
      </c>
      <c r="C270" s="198"/>
      <c r="D270" s="198"/>
      <c r="E270" s="198"/>
      <c r="F270" s="198"/>
      <c r="G270" s="198"/>
      <c r="H270" s="198"/>
      <c r="I270" s="198"/>
      <c r="J270" s="198"/>
      <c r="K270" s="198"/>
      <c r="L270" s="198"/>
      <c r="M270" s="198"/>
      <c r="N270" s="198"/>
      <c r="O270" s="198"/>
      <c r="P270" s="199"/>
      <c r="Q270" s="81"/>
    </row>
    <row r="271" spans="1:22" ht="15.75">
      <c r="A271" s="5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4"/>
      <c r="Q271" s="81"/>
    </row>
    <row r="272" spans="1:22">
      <c r="A272" s="5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7"/>
      <c r="Q272" s="81"/>
    </row>
    <row r="273" spans="1:17">
      <c r="A273" s="5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7"/>
      <c r="Q273" s="81"/>
    </row>
    <row r="274" spans="1:17">
      <c r="A274" s="5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7"/>
      <c r="Q274" s="81"/>
    </row>
    <row r="275" spans="1:17">
      <c r="A275" s="5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7"/>
      <c r="Q275" s="81"/>
    </row>
    <row r="276" spans="1:17">
      <c r="A276" s="5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7"/>
      <c r="Q276" s="81"/>
    </row>
    <row r="277" spans="1:17">
      <c r="A277" s="5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7"/>
      <c r="Q277" s="81"/>
    </row>
    <row r="278" spans="1:17">
      <c r="A278" s="5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7"/>
      <c r="Q278" s="81"/>
    </row>
    <row r="279" spans="1:17">
      <c r="A279" s="5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7"/>
      <c r="Q279" s="81"/>
    </row>
    <row r="280" spans="1:17">
      <c r="A280" s="5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7"/>
      <c r="Q280" s="81"/>
    </row>
    <row r="281" spans="1:17">
      <c r="A281" s="5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7"/>
      <c r="Q281" s="81"/>
    </row>
    <row r="282" spans="1:17">
      <c r="A282" s="5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7"/>
      <c r="Q282" s="81"/>
    </row>
    <row r="283" spans="1:17">
      <c r="A283" s="5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7"/>
      <c r="Q283" s="81"/>
    </row>
    <row r="284" spans="1:17">
      <c r="A284" s="5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7"/>
      <c r="Q284" s="81"/>
    </row>
    <row r="285" spans="1:17">
      <c r="A285" s="5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7"/>
      <c r="Q285" s="81"/>
    </row>
    <row r="286" spans="1:17">
      <c r="A286" s="5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7"/>
      <c r="Q286" s="81"/>
    </row>
    <row r="287" spans="1:17">
      <c r="A287" s="5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7"/>
      <c r="Q287" s="81"/>
    </row>
    <row r="288" spans="1:17">
      <c r="A288" s="5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7"/>
      <c r="Q288" s="81"/>
    </row>
    <row r="289" spans="1:17">
      <c r="A289" s="5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7"/>
      <c r="Q289" s="81"/>
    </row>
    <row r="290" spans="1:17">
      <c r="A290" s="5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7"/>
      <c r="Q290" s="81"/>
    </row>
    <row r="291" spans="1:17">
      <c r="A291" s="5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7"/>
      <c r="Q291" s="81"/>
    </row>
    <row r="292" spans="1:17" ht="15.75">
      <c r="A292" s="5"/>
      <c r="B292" s="198" t="s">
        <v>164</v>
      </c>
      <c r="C292" s="198"/>
      <c r="D292" s="198"/>
      <c r="E292" s="198"/>
      <c r="F292" s="198"/>
      <c r="G292" s="198"/>
      <c r="H292" s="198"/>
      <c r="I292" s="198"/>
      <c r="J292" s="198"/>
      <c r="K292" s="198"/>
      <c r="L292" s="198"/>
      <c r="M292" s="198"/>
      <c r="N292" s="198"/>
      <c r="O292" s="198"/>
      <c r="P292" s="199"/>
      <c r="Q292" s="81"/>
    </row>
    <row r="293" spans="1:17" ht="15.75">
      <c r="A293" s="5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4"/>
      <c r="Q293" s="81"/>
    </row>
    <row r="294" spans="1:17">
      <c r="A294" s="5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7"/>
      <c r="Q294" s="81"/>
    </row>
    <row r="295" spans="1:17">
      <c r="A295" s="5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7"/>
      <c r="Q295" s="81"/>
    </row>
    <row r="296" spans="1:17">
      <c r="A296" s="5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7"/>
      <c r="Q296" s="81"/>
    </row>
    <row r="297" spans="1:17">
      <c r="A297" s="5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7"/>
      <c r="Q297" s="81"/>
    </row>
    <row r="298" spans="1:17">
      <c r="A298" s="5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7"/>
      <c r="Q298" s="81"/>
    </row>
    <row r="299" spans="1:17">
      <c r="A299" s="5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7"/>
      <c r="Q299" s="81"/>
    </row>
    <row r="300" spans="1:17">
      <c r="A300" s="5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7"/>
      <c r="Q300" s="81"/>
    </row>
    <row r="301" spans="1:17">
      <c r="A301" s="5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7"/>
      <c r="Q301" s="81"/>
    </row>
    <row r="302" spans="1:17">
      <c r="A302" s="5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7"/>
      <c r="Q302" s="81"/>
    </row>
    <row r="303" spans="1:17">
      <c r="A303" s="5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7"/>
      <c r="Q303" s="81"/>
    </row>
    <row r="304" spans="1:17">
      <c r="A304" s="5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7"/>
      <c r="Q304" s="81"/>
    </row>
    <row r="305" spans="1:17">
      <c r="A305" s="5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7"/>
      <c r="Q305" s="81"/>
    </row>
    <row r="306" spans="1:17">
      <c r="A306" s="5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7"/>
      <c r="Q306" s="81"/>
    </row>
    <row r="307" spans="1:17">
      <c r="A307" s="5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7"/>
      <c r="Q307" s="81"/>
    </row>
    <row r="308" spans="1:17">
      <c r="A308" s="5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7"/>
      <c r="Q308" s="81"/>
    </row>
    <row r="309" spans="1:17">
      <c r="A309" s="5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7"/>
      <c r="Q309" s="81"/>
    </row>
    <row r="310" spans="1:17">
      <c r="A310" s="5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7"/>
      <c r="Q310" s="81"/>
    </row>
    <row r="311" spans="1:17">
      <c r="A311" s="5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7"/>
      <c r="Q311" s="81"/>
    </row>
    <row r="312" spans="1:17" ht="15.75" thickBot="1">
      <c r="A312" s="44"/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86"/>
      <c r="Q312" s="81"/>
    </row>
    <row r="313" spans="1:17">
      <c r="A313" s="81"/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</row>
    <row r="314" spans="1:17">
      <c r="A314" s="81"/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</row>
    <row r="315" spans="1:17">
      <c r="A315" s="81"/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</row>
    <row r="316" spans="1:17">
      <c r="A316" s="81"/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</row>
    <row r="317" spans="1:17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</row>
    <row r="318" spans="1:17">
      <c r="A318" s="81"/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</row>
    <row r="319" spans="1:17">
      <c r="A319" s="81"/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</row>
    <row r="320" spans="1:17">
      <c r="A320" s="81"/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</row>
  </sheetData>
  <mergeCells count="103">
    <mergeCell ref="AB77:AC77"/>
    <mergeCell ref="AF79:AG79"/>
    <mergeCell ref="AL18:AM18"/>
    <mergeCell ref="AG16:AH16"/>
    <mergeCell ref="AA3:AK3"/>
    <mergeCell ref="AA29:AK29"/>
    <mergeCell ref="Y30:Z30"/>
    <mergeCell ref="W3:X3"/>
    <mergeCell ref="Y4:Z4"/>
    <mergeCell ref="W56:X56"/>
    <mergeCell ref="Y57:Z57"/>
    <mergeCell ref="AA56:AK56"/>
    <mergeCell ref="Y18:Z18"/>
    <mergeCell ref="AB21:AC21"/>
    <mergeCell ref="AF21:AG21"/>
    <mergeCell ref="AJ21:AK21"/>
    <mergeCell ref="AB48:AC48"/>
    <mergeCell ref="AF48:AG48"/>
    <mergeCell ref="AJ48:AK48"/>
    <mergeCell ref="AB50:AC50"/>
    <mergeCell ref="AF67:AG67"/>
    <mergeCell ref="AG43:AH43"/>
    <mergeCell ref="AL45:AM45"/>
    <mergeCell ref="AF40:AG40"/>
    <mergeCell ref="AB75:AC75"/>
    <mergeCell ref="AB67:AC67"/>
    <mergeCell ref="Y45:Z45"/>
    <mergeCell ref="B12:C12"/>
    <mergeCell ref="Q12:S12"/>
    <mergeCell ref="W29:X29"/>
    <mergeCell ref="AB40:AC40"/>
    <mergeCell ref="AB42:AC42"/>
    <mergeCell ref="Q32:R32"/>
    <mergeCell ref="B27:C27"/>
    <mergeCell ref="B4:E4"/>
    <mergeCell ref="K4:L4"/>
    <mergeCell ref="K7:L7"/>
    <mergeCell ref="B24:C24"/>
    <mergeCell ref="B204:P204"/>
    <mergeCell ref="B225:P225"/>
    <mergeCell ref="B10:C10"/>
    <mergeCell ref="B11:C11"/>
    <mergeCell ref="B20:C20"/>
    <mergeCell ref="H21:K21"/>
    <mergeCell ref="AF75:AG75"/>
    <mergeCell ref="AJ75:AK75"/>
    <mergeCell ref="K12:O12"/>
    <mergeCell ref="Q35:T35"/>
    <mergeCell ref="Q15:S15"/>
    <mergeCell ref="Q19:S19"/>
    <mergeCell ref="B1:L1"/>
    <mergeCell ref="M223:N223"/>
    <mergeCell ref="M245:N245"/>
    <mergeCell ref="B154:P154"/>
    <mergeCell ref="B131:P131"/>
    <mergeCell ref="N105:P105"/>
    <mergeCell ref="B107:P107"/>
    <mergeCell ref="B82:D82"/>
    <mergeCell ref="B83:D83"/>
    <mergeCell ref="B93:D93"/>
    <mergeCell ref="B47:C47"/>
    <mergeCell ref="M5:O5"/>
    <mergeCell ref="M6:O6"/>
    <mergeCell ref="M3:P3"/>
    <mergeCell ref="B3:G3"/>
    <mergeCell ref="H3:L3"/>
    <mergeCell ref="B5:C5"/>
    <mergeCell ref="Q4:S4"/>
    <mergeCell ref="Q1:R1"/>
    <mergeCell ref="V1:AN1"/>
    <mergeCell ref="AB13:AC13"/>
    <mergeCell ref="AF13:AG13"/>
    <mergeCell ref="AB15:AC15"/>
    <mergeCell ref="Q3:S3"/>
    <mergeCell ref="AG70:AH70"/>
    <mergeCell ref="AL72:AM72"/>
    <mergeCell ref="Q5:S5"/>
    <mergeCell ref="AB69:AC69"/>
    <mergeCell ref="Y72:Z72"/>
    <mergeCell ref="B292:P292"/>
    <mergeCell ref="B28:C28"/>
    <mergeCell ref="L22:M22"/>
    <mergeCell ref="B26:C26"/>
    <mergeCell ref="L25:M25"/>
    <mergeCell ref="B22:G22"/>
    <mergeCell ref="B25:G25"/>
    <mergeCell ref="L23:N24"/>
    <mergeCell ref="M36:N37"/>
    <mergeCell ref="B48:C48"/>
    <mergeCell ref="B49:C49"/>
    <mergeCell ref="B101:M101"/>
    <mergeCell ref="B97:E97"/>
    <mergeCell ref="B50:C50"/>
    <mergeCell ref="B247:P247"/>
    <mergeCell ref="B180:P180"/>
    <mergeCell ref="B270:P270"/>
    <mergeCell ref="B100:D100"/>
    <mergeCell ref="B73:D73"/>
    <mergeCell ref="B80:D80"/>
    <mergeCell ref="B81:D81"/>
    <mergeCell ref="M246:N246"/>
    <mergeCell ref="N91:O91"/>
    <mergeCell ref="M81:N81"/>
  </mergeCells>
  <dataValidations count="8">
    <dataValidation type="whole" allowBlank="1" showInputMessage="1" showErrorMessage="1" errorTitle="m konstant" error="Prøv igen" promptTitle="m konstant" prompt="For silicone mellem 1 og 2" sqref="S53">
      <formula1>1</formula1>
      <formula2>2</formula2>
    </dataValidation>
    <dataValidation type="whole" allowBlank="1" showInputMessage="1" showErrorMessage="1" errorTitle="Transistorens forstærkning" error="Skal være mellem_x000a_1 og 1000" promptTitle="Transistorens forstærkning" prompt="Indsæt Min værdi for beta" sqref="D6">
      <formula1>1</formula1>
      <formula2>1000</formula2>
    </dataValidation>
    <dataValidation type="whole" allowBlank="1" showInputMessage="1" showErrorMessage="1" errorTitle="Transistorens forstærkning" error="Skal være mellem_x000a_1 og 1000" promptTitle="Transistorens forstærkning" prompt="Indsæt Max værdi for Beta" sqref="E6">
      <formula1>1</formula1>
      <formula2>1000</formula2>
    </dataValidation>
    <dataValidation allowBlank="1" showInputMessage="1" showErrorMessage="1" promptTitle="Den valgte Beta værdi" prompt="Beta=KVrod af Min * Max" sqref="C6"/>
    <dataValidation type="list" operator="lessThan" allowBlank="1" showInputMessage="1" showErrorMessage="1" errorTitle="Base Emitter spænding" error="Husk VBE erpositiv" promptTitle="Base Emitter spænding" prompt="Indsæt positiv fortegn" sqref="H6">
      <formula1>$Q$19:$Q$29</formula1>
    </dataValidation>
    <dataValidation type="decimal" allowBlank="1" showInputMessage="1" showErrorMessage="1" errorTitle="Emitter spænding" error="Indsæt positiv fortegn_x000a_Max 10% af Vcc" promptTitle="Emitter spænding" prompt="Indsæt positiv fortegn_x000a_Max 10% af Vcc" sqref="I6">
      <formula1>0</formula1>
      <formula2>100</formula2>
    </dataValidation>
    <dataValidation type="decimal" allowBlank="1" showInputMessage="1" showErrorMessage="1" errorTitle="Forsyningsspænding" error="Husk Vcc er positiv" promptTitle="Forsyningsspænding" prompt="Indsæt positiv fortegn" sqref="F6">
      <formula1>0</formula1>
      <formula2>100</formula2>
    </dataValidation>
    <dataValidation allowBlank="1" showInputMessage="1" showErrorMessage="1" promptTitle="Transistor type" prompt="NPN" sqref="B6"/>
  </dataValidations>
  <hyperlinks>
    <hyperlink ref="M5" r:id="rId1"/>
    <hyperlink ref="Q35" r:id="rId2"/>
  </hyperlinks>
  <pageMargins left="0.7" right="0.7" top="0.75" bottom="0.75" header="0.3" footer="0.3"/>
  <pageSetup paperSize="9" orientation="portrait" r:id="rId3"/>
  <ignoredErrors>
    <ignoredError sqref="I28 I91:I92" formula="1"/>
  </ignoredError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>
  <sheetPr codeName="Ark3"/>
  <dimension ref="A1:AN312"/>
  <sheetViews>
    <sheetView zoomScaleNormal="100" workbookViewId="0">
      <selection activeCell="B1" sqref="B1:L1"/>
    </sheetView>
  </sheetViews>
  <sheetFormatPr defaultColWidth="8.85546875" defaultRowHeight="15"/>
  <cols>
    <col min="1" max="1" width="2.28515625" style="4" customWidth="1"/>
    <col min="2" max="2" width="14.7109375" style="4" customWidth="1"/>
    <col min="3" max="10" width="12.7109375" style="4" customWidth="1"/>
    <col min="11" max="12" width="10.7109375" style="4" customWidth="1"/>
    <col min="13" max="13" width="9.7109375" style="4" customWidth="1"/>
    <col min="14" max="14" width="14.140625" style="4" customWidth="1"/>
    <col min="15" max="15" width="10" style="4" customWidth="1"/>
    <col min="16" max="16" width="5.7109375" style="4" customWidth="1"/>
    <col min="17" max="17" width="15.7109375" style="4" customWidth="1"/>
    <col min="18" max="18" width="13.7109375" style="4" customWidth="1"/>
    <col min="19" max="19" width="18.28515625" style="4" customWidth="1"/>
    <col min="20" max="20" width="10" style="4" customWidth="1"/>
    <col min="21" max="22" width="4.7109375" style="4" customWidth="1"/>
    <col min="23" max="23" width="4.7109375" style="177" customWidth="1"/>
    <col min="24" max="40" width="4.7109375" style="4" customWidth="1"/>
    <col min="41" max="16384" width="8.85546875" style="4"/>
  </cols>
  <sheetData>
    <row r="1" spans="1:40" ht="18.75">
      <c r="A1" s="1"/>
      <c r="B1" s="228" t="s">
        <v>156</v>
      </c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"/>
      <c r="N1" s="3"/>
      <c r="O1" s="2"/>
      <c r="P1" s="73"/>
      <c r="Q1" s="213" t="s">
        <v>161</v>
      </c>
      <c r="R1" s="214"/>
      <c r="S1" s="110" t="str">
        <f>+B6</f>
        <v>2N2907A</v>
      </c>
      <c r="T1" s="2"/>
      <c r="U1" s="2"/>
      <c r="V1" s="214" t="s">
        <v>166</v>
      </c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5"/>
    </row>
    <row r="2" spans="1:40" ht="16.5" thickBot="1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74"/>
      <c r="Q2" s="5"/>
      <c r="R2" s="6"/>
      <c r="S2" s="6"/>
      <c r="T2" s="6"/>
      <c r="U2" s="6"/>
      <c r="V2" s="6"/>
      <c r="W2" s="22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7"/>
    </row>
    <row r="3" spans="1:40" ht="16.5" thickBot="1">
      <c r="A3" s="5"/>
      <c r="B3" s="201" t="s">
        <v>162</v>
      </c>
      <c r="C3" s="202"/>
      <c r="D3" s="202"/>
      <c r="E3" s="202"/>
      <c r="F3" s="202"/>
      <c r="G3" s="235"/>
      <c r="H3" s="201" t="s">
        <v>230</v>
      </c>
      <c r="I3" s="202"/>
      <c r="J3" s="202"/>
      <c r="K3" s="202"/>
      <c r="L3" s="235"/>
      <c r="M3" s="233" t="s">
        <v>48</v>
      </c>
      <c r="N3" s="233"/>
      <c r="O3" s="233"/>
      <c r="P3" s="234"/>
      <c r="Q3" s="212" t="s">
        <v>118</v>
      </c>
      <c r="R3" s="209"/>
      <c r="S3" s="209"/>
      <c r="T3" s="6"/>
      <c r="U3" s="179" t="s">
        <v>165</v>
      </c>
      <c r="V3" s="183">
        <f>+$C$6</f>
        <v>154</v>
      </c>
      <c r="W3" s="244" t="str">
        <f>+$S$1</f>
        <v>2N2907A</v>
      </c>
      <c r="X3" s="244"/>
      <c r="Y3" s="184"/>
      <c r="Z3" s="185"/>
      <c r="AA3" s="198" t="s">
        <v>18</v>
      </c>
      <c r="AB3" s="198"/>
      <c r="AC3" s="198"/>
      <c r="AD3" s="198"/>
      <c r="AE3" s="198"/>
      <c r="AF3" s="198"/>
      <c r="AG3" s="198"/>
      <c r="AH3" s="198"/>
      <c r="AI3" s="198"/>
      <c r="AJ3" s="198"/>
      <c r="AK3" s="198"/>
      <c r="AL3" s="79"/>
      <c r="AM3" s="79"/>
      <c r="AN3" s="7"/>
    </row>
    <row r="4" spans="1:40" ht="15.75">
      <c r="A4" s="5"/>
      <c r="B4" s="238" t="str">
        <f>CONCATENATE("Find ẞ = hfe ved en IC på ", J10,G10," og VCE på ",J16,E16)</f>
        <v>Find ẞ = hfe ved en IC på -5 mA og VCE på -4 V</v>
      </c>
      <c r="C4" s="239"/>
      <c r="D4" s="239"/>
      <c r="E4" s="240"/>
      <c r="F4" s="47" t="s">
        <v>5</v>
      </c>
      <c r="G4" s="159" t="s">
        <v>8</v>
      </c>
      <c r="H4" s="47" t="s">
        <v>50</v>
      </c>
      <c r="I4" s="158" t="s">
        <v>12</v>
      </c>
      <c r="J4" s="158" t="s">
        <v>111</v>
      </c>
      <c r="K4" s="241" t="s">
        <v>82</v>
      </c>
      <c r="L4" s="242"/>
      <c r="M4" s="252"/>
      <c r="N4" s="253"/>
      <c r="O4" s="253"/>
      <c r="P4" s="7"/>
      <c r="Q4" s="212" t="s">
        <v>139</v>
      </c>
      <c r="R4" s="209"/>
      <c r="S4" s="209"/>
      <c r="T4" s="6"/>
      <c r="U4" s="186" t="s">
        <v>211</v>
      </c>
      <c r="V4" s="187">
        <f>+F36</f>
        <v>4.4109232624173575</v>
      </c>
      <c r="W4" s="34" t="s">
        <v>246</v>
      </c>
      <c r="X4" s="161"/>
      <c r="Y4" s="244" t="str">
        <f>+$S$1</f>
        <v>2N2907A</v>
      </c>
      <c r="Z4" s="244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7"/>
    </row>
    <row r="5" spans="1:40" ht="15.75">
      <c r="A5" s="5"/>
      <c r="B5" s="236" t="s">
        <v>75</v>
      </c>
      <c r="C5" s="237"/>
      <c r="D5" s="157" t="s">
        <v>143</v>
      </c>
      <c r="E5" s="46" t="s">
        <v>144</v>
      </c>
      <c r="F5" s="156" t="s">
        <v>6</v>
      </c>
      <c r="G5" s="46" t="s">
        <v>43</v>
      </c>
      <c r="H5" s="156" t="s">
        <v>227</v>
      </c>
      <c r="I5" s="157" t="s">
        <v>1</v>
      </c>
      <c r="J5" s="157" t="s">
        <v>43</v>
      </c>
      <c r="K5" s="157" t="s">
        <v>24</v>
      </c>
      <c r="L5" s="46" t="s">
        <v>26</v>
      </c>
      <c r="M5" s="231" t="s">
        <v>46</v>
      </c>
      <c r="N5" s="231"/>
      <c r="O5" s="231"/>
      <c r="P5" s="7"/>
      <c r="Q5" s="224" t="s">
        <v>112</v>
      </c>
      <c r="R5" s="225"/>
      <c r="S5" s="225"/>
      <c r="T5" s="6"/>
      <c r="U5" s="161" t="s">
        <v>211</v>
      </c>
      <c r="V5" s="188">
        <f>+'2N2907A'!J45</f>
        <v>4.3866500000000004</v>
      </c>
      <c r="W5" s="34" t="s">
        <v>254</v>
      </c>
      <c r="X5" s="161"/>
      <c r="Y5" s="161"/>
      <c r="Z5" s="34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7"/>
    </row>
    <row r="6" spans="1:40" ht="19.5" thickBot="1">
      <c r="A6" s="5"/>
      <c r="B6" s="48" t="s">
        <v>247</v>
      </c>
      <c r="C6" s="78">
        <f>INT(SQRT(D6*E6))</f>
        <v>154</v>
      </c>
      <c r="D6" s="49">
        <v>154</v>
      </c>
      <c r="E6" s="50">
        <v>154</v>
      </c>
      <c r="F6" s="48">
        <v>-10</v>
      </c>
      <c r="G6" s="50">
        <v>1</v>
      </c>
      <c r="H6" s="48">
        <v>-0.7</v>
      </c>
      <c r="I6" s="119">
        <v>-1</v>
      </c>
      <c r="J6" s="49">
        <v>10</v>
      </c>
      <c r="K6" s="49">
        <v>100</v>
      </c>
      <c r="L6" s="50">
        <v>30000</v>
      </c>
      <c r="M6" s="232" t="s">
        <v>47</v>
      </c>
      <c r="N6" s="232"/>
      <c r="O6" s="232"/>
      <c r="P6" s="7"/>
      <c r="Q6" s="87" t="s">
        <v>108</v>
      </c>
      <c r="R6" s="88">
        <f>+I27</f>
        <v>23</v>
      </c>
      <c r="S6" s="89" t="str">
        <f>+J27</f>
        <v xml:space="preserve"> kΩ</v>
      </c>
      <c r="T6" s="6"/>
      <c r="U6" s="161" t="s">
        <v>211</v>
      </c>
      <c r="V6" s="188">
        <f>+BC557B!J45</f>
        <v>2.9102999999999999</v>
      </c>
      <c r="W6" s="34" t="s">
        <v>253</v>
      </c>
      <c r="X6" s="161"/>
      <c r="Y6" s="161"/>
      <c r="Z6" s="34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7"/>
    </row>
    <row r="7" spans="1:40" ht="15.75">
      <c r="A7" s="5"/>
      <c r="B7" s="9" t="s">
        <v>18</v>
      </c>
      <c r="C7" s="6"/>
      <c r="D7" s="6"/>
      <c r="E7" s="6"/>
      <c r="F7" s="6"/>
      <c r="G7" s="152"/>
      <c r="H7" s="6"/>
      <c r="I7" s="152"/>
      <c r="J7" s="152"/>
      <c r="K7" s="211"/>
      <c r="L7" s="211"/>
      <c r="M7" s="6"/>
      <c r="N7" s="6"/>
      <c r="O7" s="6"/>
      <c r="P7" s="7"/>
      <c r="Q7" s="87" t="s">
        <v>109</v>
      </c>
      <c r="R7" s="176">
        <f>+I24</f>
        <v>5.2</v>
      </c>
      <c r="S7" s="89" t="str">
        <f>+J24</f>
        <v xml:space="preserve"> kΩ</v>
      </c>
      <c r="T7" s="6"/>
      <c r="U7" s="8"/>
      <c r="V7" s="8"/>
      <c r="W7" s="192"/>
      <c r="X7" s="8"/>
      <c r="Y7" s="8"/>
      <c r="Z7" s="8"/>
      <c r="AA7" s="8"/>
      <c r="AB7" s="8"/>
      <c r="AC7" s="8"/>
      <c r="AD7" s="6"/>
      <c r="AE7" s="6"/>
      <c r="AF7" s="6"/>
      <c r="AG7" s="6"/>
      <c r="AH7" s="6"/>
      <c r="AI7" s="6"/>
      <c r="AJ7" s="6"/>
      <c r="AK7" s="6"/>
      <c r="AL7" s="6"/>
      <c r="AM7" s="6"/>
      <c r="AN7" s="7"/>
    </row>
    <row r="8" spans="1:40" ht="15.75">
      <c r="A8" s="5"/>
      <c r="B8" s="6" t="s">
        <v>208</v>
      </c>
      <c r="C8" s="6"/>
      <c r="D8" s="6"/>
      <c r="E8" s="6"/>
      <c r="F8" s="6"/>
      <c r="G8" s="152"/>
      <c r="H8" s="168">
        <v>154</v>
      </c>
      <c r="I8" s="152" t="s">
        <v>209</v>
      </c>
      <c r="J8" s="168" t="s">
        <v>248</v>
      </c>
      <c r="K8" s="152"/>
      <c r="L8" s="152"/>
      <c r="M8" s="6"/>
      <c r="N8" s="6"/>
      <c r="O8" s="6"/>
      <c r="P8" s="7"/>
      <c r="Q8" s="87" t="s">
        <v>110</v>
      </c>
      <c r="R8" s="89">
        <f>+G6</f>
        <v>1</v>
      </c>
      <c r="S8" s="89" t="str">
        <f>+G5</f>
        <v xml:space="preserve"> kΩ</v>
      </c>
      <c r="T8" s="6"/>
      <c r="U8" s="6"/>
      <c r="V8" s="6"/>
      <c r="W8" s="22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7"/>
    </row>
    <row r="9" spans="1:40" ht="15.75">
      <c r="A9" s="5"/>
      <c r="B9" s="11" t="s">
        <v>167</v>
      </c>
      <c r="C9" s="11"/>
      <c r="D9" s="11"/>
      <c r="E9" s="11"/>
      <c r="F9" s="11"/>
      <c r="G9" s="11"/>
      <c r="H9" s="11"/>
      <c r="I9" s="11"/>
      <c r="J9" s="11"/>
      <c r="K9" s="152"/>
      <c r="L9" s="152"/>
      <c r="M9" s="6"/>
      <c r="N9" s="6"/>
      <c r="O9" s="6"/>
      <c r="P9" s="7"/>
      <c r="Q9" s="87" t="s">
        <v>119</v>
      </c>
      <c r="R9" s="88">
        <f>+I28</f>
        <v>199</v>
      </c>
      <c r="S9" s="89" t="str">
        <f>+J28</f>
        <v xml:space="preserve"> Ω</v>
      </c>
      <c r="T9" s="6"/>
      <c r="U9" s="6"/>
      <c r="V9" s="6"/>
      <c r="W9" s="22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7"/>
    </row>
    <row r="10" spans="1:40" ht="15.75">
      <c r="A10" s="5"/>
      <c r="B10" s="200" t="s">
        <v>94</v>
      </c>
      <c r="C10" s="200"/>
      <c r="D10" s="152">
        <f>(F6/2)/(G6*1000)</f>
        <v>-5.0000000000000001E-3</v>
      </c>
      <c r="E10" s="152" t="s">
        <v>146</v>
      </c>
      <c r="F10" s="102">
        <f>D10*1000</f>
        <v>-5</v>
      </c>
      <c r="G10" s="103" t="s">
        <v>88</v>
      </c>
      <c r="H10" s="6" t="s">
        <v>168</v>
      </c>
      <c r="I10" s="82"/>
      <c r="J10" s="197">
        <f>ROUND(F10,0)</f>
        <v>-5</v>
      </c>
      <c r="K10" s="6"/>
      <c r="L10" s="6"/>
      <c r="M10" s="6"/>
      <c r="N10" s="6"/>
      <c r="O10" s="6"/>
      <c r="P10" s="7"/>
      <c r="Q10" s="87" t="s">
        <v>116</v>
      </c>
      <c r="R10" s="88">
        <f>+I73</f>
        <v>801</v>
      </c>
      <c r="S10" s="89" t="str">
        <f>+J73</f>
        <v xml:space="preserve"> Ω</v>
      </c>
      <c r="T10" s="6"/>
      <c r="U10" s="6"/>
      <c r="V10" s="6"/>
      <c r="W10" s="22"/>
      <c r="X10" s="6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7"/>
    </row>
    <row r="11" spans="1:40" ht="15.75">
      <c r="A11" s="5"/>
      <c r="B11" s="200" t="s">
        <v>95</v>
      </c>
      <c r="C11" s="200"/>
      <c r="D11" s="152">
        <f>D10/C6</f>
        <v>-3.2467532467532468E-5</v>
      </c>
      <c r="E11" s="152" t="s">
        <v>146</v>
      </c>
      <c r="F11" s="105">
        <f>D11*1000</f>
        <v>-3.2467532467532464E-2</v>
      </c>
      <c r="G11" s="103" t="s">
        <v>88</v>
      </c>
      <c r="H11" s="6" t="s">
        <v>7</v>
      </c>
      <c r="I11" s="83"/>
      <c r="J11" s="82"/>
      <c r="K11" s="6"/>
      <c r="L11" s="6"/>
      <c r="M11" s="6"/>
      <c r="N11" s="6"/>
      <c r="O11" s="6"/>
      <c r="P11" s="7"/>
      <c r="Q11" s="87" t="s">
        <v>111</v>
      </c>
      <c r="R11" s="89">
        <f>+J6</f>
        <v>10</v>
      </c>
      <c r="S11" s="89" t="str">
        <f>+J5</f>
        <v xml:space="preserve"> kΩ</v>
      </c>
      <c r="T11" s="6"/>
      <c r="U11" s="6"/>
      <c r="V11" s="6"/>
      <c r="W11" s="22"/>
      <c r="X11" s="6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7"/>
    </row>
    <row r="12" spans="1:40" ht="15.75">
      <c r="A12" s="5"/>
      <c r="B12" s="200" t="s">
        <v>96</v>
      </c>
      <c r="C12" s="200"/>
      <c r="D12" s="6">
        <f>D10+D11</f>
        <v>-5.0324675324675324E-3</v>
      </c>
      <c r="E12" s="152" t="s">
        <v>146</v>
      </c>
      <c r="F12" s="105">
        <f>D12*1000</f>
        <v>-5.0324675324675328</v>
      </c>
      <c r="G12" s="103" t="s">
        <v>88</v>
      </c>
      <c r="H12" s="6" t="s">
        <v>13</v>
      </c>
      <c r="I12" s="82"/>
      <c r="J12" s="82"/>
      <c r="K12" s="219" t="s">
        <v>210</v>
      </c>
      <c r="L12" s="220"/>
      <c r="M12" s="220"/>
      <c r="N12" s="220"/>
      <c r="O12" s="221"/>
      <c r="P12" s="133"/>
      <c r="Q12" s="224" t="s">
        <v>113</v>
      </c>
      <c r="R12" s="225"/>
      <c r="S12" s="225"/>
      <c r="T12" s="6"/>
      <c r="U12" s="6"/>
      <c r="V12" s="6"/>
      <c r="W12" s="22"/>
      <c r="X12" s="6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7"/>
    </row>
    <row r="13" spans="1:40" ht="15.75">
      <c r="A13" s="5"/>
      <c r="B13" s="149" t="s">
        <v>229</v>
      </c>
      <c r="C13" s="149"/>
      <c r="D13" s="148">
        <f>I6/(D28+F73)</f>
        <v>-1E-3</v>
      </c>
      <c r="E13" s="152" t="s">
        <v>146</v>
      </c>
      <c r="F13" s="105">
        <f>D13*1000</f>
        <v>-1</v>
      </c>
      <c r="G13" s="103" t="s">
        <v>88</v>
      </c>
      <c r="H13" s="6" t="s">
        <v>217</v>
      </c>
      <c r="I13" s="82"/>
      <c r="J13" s="82"/>
      <c r="K13" s="169"/>
      <c r="L13" s="169"/>
      <c r="M13" s="169"/>
      <c r="N13" s="169"/>
      <c r="O13" s="169"/>
      <c r="P13" s="133"/>
      <c r="Q13" s="87" t="s">
        <v>120</v>
      </c>
      <c r="R13" s="88">
        <f>+I48</f>
        <v>80</v>
      </c>
      <c r="S13" s="89" t="str">
        <f>+J48</f>
        <v xml:space="preserve"> uF</v>
      </c>
      <c r="T13" s="6"/>
      <c r="U13" s="6"/>
      <c r="V13" s="6"/>
      <c r="W13" s="22"/>
      <c r="X13" s="6"/>
      <c r="Y13" s="6"/>
      <c r="Z13" s="6"/>
      <c r="AA13" s="6"/>
      <c r="AB13" s="216" t="str">
        <f>CONCATENATE(R6,S6)</f>
        <v>23 kΩ</v>
      </c>
      <c r="AC13" s="216"/>
      <c r="AD13" s="6"/>
      <c r="AE13" s="6"/>
      <c r="AF13" s="216" t="str">
        <f>CONCATENATE(R8,S8)</f>
        <v>1 kΩ</v>
      </c>
      <c r="AG13" s="216"/>
      <c r="AH13" s="6"/>
      <c r="AI13" s="6"/>
      <c r="AJ13" s="6"/>
      <c r="AK13" s="6"/>
      <c r="AL13" s="6"/>
      <c r="AM13" s="6"/>
      <c r="AN13" s="7"/>
    </row>
    <row r="14" spans="1:40" ht="15.75">
      <c r="A14" s="5"/>
      <c r="B14" s="149"/>
      <c r="C14" s="149"/>
      <c r="D14" s="6"/>
      <c r="E14" s="152"/>
      <c r="F14" s="15"/>
      <c r="G14" s="12"/>
      <c r="H14" s="6"/>
      <c r="I14" s="82"/>
      <c r="J14" s="82"/>
      <c r="K14" s="6"/>
      <c r="L14" s="6"/>
      <c r="M14" s="6"/>
      <c r="N14" s="6"/>
      <c r="O14" s="6"/>
      <c r="P14" s="7"/>
      <c r="Q14" s="87" t="s">
        <v>121</v>
      </c>
      <c r="R14" s="88">
        <f>+I81</f>
        <v>20</v>
      </c>
      <c r="S14" s="89" t="str">
        <f>+J81</f>
        <v xml:space="preserve"> uF</v>
      </c>
      <c r="T14" s="6"/>
      <c r="U14" s="6"/>
      <c r="V14" s="6"/>
      <c r="W14" s="22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7"/>
    </row>
    <row r="15" spans="1:40" ht="15.75">
      <c r="A15" s="5"/>
      <c r="B15" s="149" t="s">
        <v>97</v>
      </c>
      <c r="C15" s="149"/>
      <c r="D15" s="21">
        <f>F10*G6</f>
        <v>-5</v>
      </c>
      <c r="E15" s="152" t="s">
        <v>102</v>
      </c>
      <c r="F15" s="15"/>
      <c r="G15" s="12"/>
      <c r="H15" s="6"/>
      <c r="I15" s="82"/>
      <c r="J15" s="148"/>
      <c r="K15" s="6"/>
      <c r="L15" s="6"/>
      <c r="M15" s="6"/>
      <c r="N15" s="6"/>
      <c r="O15" s="6"/>
      <c r="P15" s="7"/>
      <c r="Q15" s="224" t="s">
        <v>115</v>
      </c>
      <c r="R15" s="225"/>
      <c r="S15" s="225"/>
      <c r="T15" s="6"/>
      <c r="U15" s="6"/>
      <c r="V15" s="6"/>
      <c r="W15" s="22"/>
      <c r="X15" s="6"/>
      <c r="Y15" s="6"/>
      <c r="Z15" s="6"/>
      <c r="AA15" s="6"/>
      <c r="AB15" s="218" t="str">
        <f>+B6</f>
        <v>2N2907A</v>
      </c>
      <c r="AC15" s="218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7"/>
    </row>
    <row r="16" spans="1:40" ht="15.75">
      <c r="A16" s="5"/>
      <c r="B16" s="6" t="s">
        <v>76</v>
      </c>
      <c r="C16" s="6"/>
      <c r="D16" s="16">
        <f>F6-I6-(G6*1000*D10)</f>
        <v>-4</v>
      </c>
      <c r="E16" s="152" t="s">
        <v>102</v>
      </c>
      <c r="F16" s="36"/>
      <c r="G16" s="10"/>
      <c r="H16" s="6"/>
      <c r="I16" s="82"/>
      <c r="J16" s="197">
        <f>ROUND(D16,0)</f>
        <v>-4</v>
      </c>
      <c r="K16" s="150"/>
      <c r="L16" s="6"/>
      <c r="M16" s="6"/>
      <c r="N16" s="152"/>
      <c r="O16" s="152"/>
      <c r="P16" s="75"/>
      <c r="Q16" s="87" t="s">
        <v>127</v>
      </c>
      <c r="R16" s="90">
        <f>+I93</f>
        <v>2.2400000000000002</v>
      </c>
      <c r="S16" s="89" t="str">
        <f>+J93</f>
        <v xml:space="preserve">  uF</v>
      </c>
      <c r="T16" s="6"/>
      <c r="U16" s="6"/>
      <c r="V16" s="6"/>
      <c r="W16" s="211"/>
      <c r="X16" s="211"/>
      <c r="Y16" s="6"/>
      <c r="Z16" s="6"/>
      <c r="AA16" s="6"/>
      <c r="AB16" s="193"/>
      <c r="AC16" s="193"/>
      <c r="AD16" s="6"/>
      <c r="AE16" s="6"/>
      <c r="AF16" s="6"/>
      <c r="AG16" s="247" t="str">
        <f>CONCATENATE(R17,S17)</f>
        <v>0,16  uF</v>
      </c>
      <c r="AH16" s="247"/>
      <c r="AI16" s="6"/>
      <c r="AJ16" s="6"/>
      <c r="AK16" s="6"/>
      <c r="AL16" s="6"/>
      <c r="AM16" s="6"/>
      <c r="AN16" s="7"/>
    </row>
    <row r="17" spans="1:40" ht="15.75">
      <c r="A17" s="5"/>
      <c r="B17" s="6" t="s">
        <v>98</v>
      </c>
      <c r="C17" s="6"/>
      <c r="D17" s="16">
        <f>+I6</f>
        <v>-1</v>
      </c>
      <c r="E17" s="152" t="s">
        <v>102</v>
      </c>
      <c r="F17" s="6" t="s">
        <v>99</v>
      </c>
      <c r="G17" s="10"/>
      <c r="H17" s="6"/>
      <c r="I17" s="82"/>
      <c r="J17" s="82"/>
      <c r="K17" s="150"/>
      <c r="L17" s="6"/>
      <c r="M17" s="6"/>
      <c r="N17" s="152"/>
      <c r="O17" s="152"/>
      <c r="P17" s="75"/>
      <c r="Q17" s="87" t="s">
        <v>128</v>
      </c>
      <c r="R17" s="90">
        <f>+I100</f>
        <v>0.16</v>
      </c>
      <c r="S17" s="89" t="str">
        <f>+J100</f>
        <v xml:space="preserve">  uF</v>
      </c>
      <c r="T17" s="6"/>
      <c r="U17" s="6"/>
      <c r="V17" s="6"/>
      <c r="W17" s="22"/>
      <c r="X17" s="6"/>
      <c r="Y17" s="6"/>
      <c r="Z17" s="6"/>
      <c r="AA17" s="6"/>
      <c r="AB17" s="6"/>
      <c r="AC17" s="6"/>
      <c r="AD17" s="6"/>
      <c r="AE17" s="6"/>
      <c r="AF17" s="6"/>
      <c r="AG17" s="8"/>
      <c r="AH17" s="8"/>
      <c r="AI17" s="6"/>
      <c r="AJ17" s="6"/>
      <c r="AK17" s="6"/>
      <c r="AL17" s="6"/>
      <c r="AM17" s="6"/>
      <c r="AN17" s="7"/>
    </row>
    <row r="18" spans="1:40">
      <c r="A18" s="5"/>
      <c r="B18" s="6" t="s">
        <v>107</v>
      </c>
      <c r="C18" s="6"/>
      <c r="D18" s="16">
        <f>SUM(D15:D17)</f>
        <v>-10</v>
      </c>
      <c r="E18" s="152" t="s">
        <v>102</v>
      </c>
      <c r="F18" s="6" t="str">
        <f>IF(D18=F6,"Korrekt","Fejl")</f>
        <v>Korrekt</v>
      </c>
      <c r="G18" s="10"/>
      <c r="H18" s="6"/>
      <c r="I18" s="82"/>
      <c r="J18" s="82"/>
      <c r="K18" s="150"/>
      <c r="L18" s="6"/>
      <c r="M18" s="6"/>
      <c r="N18" s="152"/>
      <c r="O18" s="152"/>
      <c r="P18" s="75"/>
      <c r="Q18" s="8"/>
      <c r="R18" s="8"/>
      <c r="S18" s="8"/>
      <c r="T18" s="6"/>
      <c r="U18" s="6"/>
      <c r="V18" s="6"/>
      <c r="W18" s="22"/>
      <c r="X18" s="6"/>
      <c r="Y18" s="247" t="str">
        <f>CONCATENATE(R16,S16)</f>
        <v>2,24  uF</v>
      </c>
      <c r="Z18" s="247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247" t="str">
        <f>CONCATENATE(F6,F5)</f>
        <v>-10 Volt</v>
      </c>
      <c r="AM18" s="247"/>
      <c r="AN18" s="7"/>
    </row>
    <row r="19" spans="1:40">
      <c r="A19" s="5"/>
      <c r="B19" s="6" t="s">
        <v>100</v>
      </c>
      <c r="C19" s="6"/>
      <c r="D19" s="6">
        <f>+H6</f>
        <v>-0.7</v>
      </c>
      <c r="E19" s="152" t="s">
        <v>102</v>
      </c>
      <c r="F19" s="6" t="s">
        <v>101</v>
      </c>
      <c r="G19" s="6"/>
      <c r="H19" s="6"/>
      <c r="I19" s="6"/>
      <c r="J19" s="82"/>
      <c r="K19" s="6"/>
      <c r="L19" s="6"/>
      <c r="M19" s="6"/>
      <c r="N19" s="152"/>
      <c r="O19" s="152"/>
      <c r="P19" s="75"/>
      <c r="Q19" s="226" t="s">
        <v>158</v>
      </c>
      <c r="R19" s="227"/>
      <c r="S19" s="227"/>
      <c r="T19" s="6"/>
      <c r="U19" s="6"/>
      <c r="V19" s="6"/>
      <c r="W19" s="22"/>
      <c r="X19" s="6"/>
      <c r="Y19" s="8"/>
      <c r="Z19" s="8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8"/>
      <c r="AM19" s="8"/>
      <c r="AN19" s="7"/>
    </row>
    <row r="20" spans="1:40" ht="15.75">
      <c r="A20" s="5"/>
      <c r="B20" s="200" t="s">
        <v>9</v>
      </c>
      <c r="C20" s="200"/>
      <c r="D20" s="70">
        <f>I6+H6</f>
        <v>-1.7</v>
      </c>
      <c r="E20" s="152" t="s">
        <v>102</v>
      </c>
      <c r="F20" s="6"/>
      <c r="G20" s="6"/>
      <c r="H20" s="6"/>
      <c r="I20" s="6"/>
      <c r="J20" s="6"/>
      <c r="K20" s="71"/>
      <c r="L20" s="71"/>
      <c r="M20" s="71"/>
      <c r="N20" s="71"/>
      <c r="O20" s="71"/>
      <c r="P20" s="7"/>
      <c r="Q20" s="5">
        <v>-0.1</v>
      </c>
      <c r="R20" s="21"/>
      <c r="S20" s="6"/>
      <c r="T20" s="6"/>
      <c r="U20" s="6"/>
      <c r="V20" s="6"/>
      <c r="W20" s="22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7"/>
    </row>
    <row r="21" spans="1:40" ht="15.75" thickBot="1">
      <c r="A21" s="5"/>
      <c r="B21" s="6"/>
      <c r="C21" s="6"/>
      <c r="D21" s="6"/>
      <c r="E21" s="6"/>
      <c r="F21" s="6"/>
      <c r="G21" s="6"/>
      <c r="H21" s="243" t="s">
        <v>83</v>
      </c>
      <c r="I21" s="243"/>
      <c r="J21" s="243"/>
      <c r="K21" s="243"/>
      <c r="L21" s="6"/>
      <c r="M21" s="6"/>
      <c r="N21" s="6"/>
      <c r="O21" s="6"/>
      <c r="P21" s="7"/>
      <c r="Q21" s="5">
        <v>-0.2</v>
      </c>
      <c r="R21" s="6" t="s">
        <v>160</v>
      </c>
      <c r="S21" s="6"/>
      <c r="T21" s="6"/>
      <c r="U21" s="6"/>
      <c r="V21" s="6"/>
      <c r="W21" s="22"/>
      <c r="X21" s="6"/>
      <c r="Y21" s="6"/>
      <c r="Z21" s="6"/>
      <c r="AA21" s="6"/>
      <c r="AB21" s="216" t="str">
        <f>CONCATENATE(R7,S7)</f>
        <v>5,2 kΩ</v>
      </c>
      <c r="AC21" s="216"/>
      <c r="AD21" s="6"/>
      <c r="AE21" s="6"/>
      <c r="AF21" s="216" t="str">
        <f>CONCATENATE(R9,S9)</f>
        <v>199 Ω</v>
      </c>
      <c r="AG21" s="216"/>
      <c r="AH21" s="6"/>
      <c r="AI21" s="6"/>
      <c r="AJ21" s="216" t="str">
        <f>CONCATENATE(R11,S11)</f>
        <v>10 kΩ</v>
      </c>
      <c r="AK21" s="216"/>
      <c r="AL21" s="6"/>
      <c r="AM21" s="6"/>
      <c r="AN21" s="7"/>
    </row>
    <row r="22" spans="1:40" ht="16.5" thickBot="1">
      <c r="A22" s="5"/>
      <c r="B22" s="205" t="s">
        <v>54</v>
      </c>
      <c r="C22" s="205"/>
      <c r="D22" s="205"/>
      <c r="E22" s="205"/>
      <c r="F22" s="205"/>
      <c r="G22" s="205"/>
      <c r="H22" s="6"/>
      <c r="I22" s="6"/>
      <c r="J22" s="6"/>
      <c r="K22" s="6"/>
      <c r="L22" s="201" t="s">
        <v>104</v>
      </c>
      <c r="M22" s="202"/>
      <c r="N22" s="52">
        <v>10</v>
      </c>
      <c r="O22" s="6"/>
      <c r="P22" s="7"/>
      <c r="Q22" s="5">
        <v>-0.3</v>
      </c>
      <c r="R22" s="6" t="s">
        <v>160</v>
      </c>
      <c r="S22" s="6"/>
      <c r="T22" s="6"/>
      <c r="U22" s="6"/>
      <c r="V22" s="6"/>
      <c r="W22" s="22"/>
      <c r="X22" s="6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7"/>
    </row>
    <row r="23" spans="1:40" ht="14.45" customHeight="1">
      <c r="A23" s="5"/>
      <c r="B23" s="6" t="s">
        <v>103</v>
      </c>
      <c r="C23" s="6"/>
      <c r="D23" s="6"/>
      <c r="E23" s="6"/>
      <c r="F23" s="58">
        <f>N22*F11</f>
        <v>-0.32467532467532467</v>
      </c>
      <c r="G23" s="103" t="s">
        <v>0</v>
      </c>
      <c r="H23" s="6"/>
      <c r="I23" s="6"/>
      <c r="J23" s="6"/>
      <c r="K23" s="13"/>
      <c r="L23" s="206" t="s">
        <v>45</v>
      </c>
      <c r="M23" s="206"/>
      <c r="N23" s="206"/>
      <c r="O23" s="6"/>
      <c r="P23" s="7"/>
      <c r="Q23" s="5">
        <v>-0.4</v>
      </c>
      <c r="R23" s="11"/>
      <c r="S23" s="6"/>
      <c r="T23" s="6"/>
      <c r="U23" s="6"/>
      <c r="V23" s="6"/>
      <c r="W23" s="22"/>
      <c r="X23" s="6"/>
      <c r="Y23" s="6"/>
      <c r="Z23" s="6"/>
      <c r="AA23" s="6"/>
      <c r="AB23" s="6"/>
      <c r="AC23" s="6"/>
      <c r="AD23" s="6"/>
      <c r="AE23" s="6"/>
      <c r="AF23" s="120"/>
      <c r="AG23" s="120"/>
      <c r="AH23" s="6"/>
      <c r="AI23" s="6"/>
      <c r="AJ23" s="6"/>
      <c r="AK23" s="6"/>
      <c r="AL23" s="6"/>
      <c r="AM23" s="6"/>
      <c r="AN23" s="7"/>
    </row>
    <row r="24" spans="1:40" ht="15" customHeight="1" thickBot="1">
      <c r="A24" s="5"/>
      <c r="B24" s="200" t="s">
        <v>10</v>
      </c>
      <c r="C24" s="200"/>
      <c r="D24" s="17">
        <f>D20/(F23*10^-3)</f>
        <v>5236</v>
      </c>
      <c r="E24" s="152" t="s">
        <v>2</v>
      </c>
      <c r="F24" s="58">
        <f>D24/1000</f>
        <v>5.2359999999999998</v>
      </c>
      <c r="G24" s="19" t="s">
        <v>3</v>
      </c>
      <c r="H24" s="6"/>
      <c r="I24" s="61">
        <f>ROUND(F24,1)</f>
        <v>5.2</v>
      </c>
      <c r="J24" s="68" t="s">
        <v>35</v>
      </c>
      <c r="K24" s="56"/>
      <c r="L24" s="207"/>
      <c r="M24" s="207"/>
      <c r="N24" s="207"/>
      <c r="O24" s="18"/>
      <c r="P24" s="7"/>
      <c r="Q24" s="84">
        <v>-0.5</v>
      </c>
      <c r="R24" s="6"/>
      <c r="S24" s="6"/>
      <c r="T24" s="6"/>
      <c r="U24" s="6"/>
      <c r="V24" s="6"/>
      <c r="W24" s="22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7"/>
    </row>
    <row r="25" spans="1:40" ht="16.5" thickBot="1">
      <c r="A25" s="5"/>
      <c r="B25" s="205" t="s">
        <v>55</v>
      </c>
      <c r="C25" s="205"/>
      <c r="D25" s="205"/>
      <c r="E25" s="205"/>
      <c r="F25" s="205"/>
      <c r="G25" s="205"/>
      <c r="H25" s="11"/>
      <c r="I25" s="22"/>
      <c r="J25" s="18"/>
      <c r="K25" s="56"/>
      <c r="L25" s="203" t="s">
        <v>106</v>
      </c>
      <c r="M25" s="204"/>
      <c r="N25" s="51">
        <v>11</v>
      </c>
      <c r="O25" s="18"/>
      <c r="P25" s="7"/>
      <c r="Q25" s="5">
        <v>-0.6</v>
      </c>
      <c r="R25" s="6" t="s">
        <v>159</v>
      </c>
      <c r="S25" s="11"/>
      <c r="T25" s="6"/>
      <c r="U25" s="6"/>
      <c r="V25" s="6"/>
      <c r="W25" s="22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7"/>
    </row>
    <row r="26" spans="1:40" ht="15.75">
      <c r="A26" s="5"/>
      <c r="B26" s="200" t="s">
        <v>105</v>
      </c>
      <c r="C26" s="200"/>
      <c r="D26" s="6"/>
      <c r="E26" s="6"/>
      <c r="F26" s="58">
        <f>N25*F11</f>
        <v>-0.3571428571428571</v>
      </c>
      <c r="G26" s="103" t="s">
        <v>0</v>
      </c>
      <c r="H26" s="11"/>
      <c r="I26" s="106"/>
      <c r="J26" s="107"/>
      <c r="K26" s="56"/>
      <c r="L26" s="6"/>
      <c r="M26" s="6"/>
      <c r="N26" s="6"/>
      <c r="O26" s="6"/>
      <c r="P26" s="7"/>
      <c r="Q26" s="5">
        <v>-0.7</v>
      </c>
      <c r="R26" s="6" t="s">
        <v>159</v>
      </c>
      <c r="S26" s="6"/>
      <c r="T26" s="6"/>
      <c r="U26" s="8"/>
      <c r="V26" s="8"/>
      <c r="W26" s="192"/>
      <c r="X26" s="8"/>
      <c r="Y26" s="8"/>
      <c r="Z26" s="8"/>
      <c r="AA26" s="8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"/>
    </row>
    <row r="27" spans="1:40">
      <c r="A27" s="5"/>
      <c r="B27" s="200" t="s">
        <v>11</v>
      </c>
      <c r="C27" s="200"/>
      <c r="D27" s="17">
        <f>(F6-D20)/(F26*10^-3)</f>
        <v>23240.000000000007</v>
      </c>
      <c r="E27" s="153" t="s">
        <v>4</v>
      </c>
      <c r="F27" s="58">
        <f>D27/1000</f>
        <v>23.240000000000006</v>
      </c>
      <c r="G27" s="19" t="s">
        <v>3</v>
      </c>
      <c r="H27" s="6"/>
      <c r="I27" s="60">
        <f>ROUND(F27,0)</f>
        <v>23</v>
      </c>
      <c r="J27" s="68" t="s">
        <v>35</v>
      </c>
      <c r="K27" s="56"/>
      <c r="L27" s="13"/>
      <c r="M27" s="6"/>
      <c r="N27" s="6"/>
      <c r="O27" s="6"/>
      <c r="P27" s="7"/>
      <c r="Q27" s="5">
        <v>-0.8</v>
      </c>
      <c r="R27" s="6" t="s">
        <v>159</v>
      </c>
      <c r="S27" s="6"/>
      <c r="T27" s="6"/>
      <c r="U27" s="8"/>
      <c r="V27" s="8"/>
      <c r="W27" s="192"/>
      <c r="X27" s="8"/>
      <c r="Y27" s="8"/>
      <c r="Z27" s="8"/>
      <c r="AA27" s="8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7"/>
    </row>
    <row r="28" spans="1:40">
      <c r="A28" s="5"/>
      <c r="B28" s="200" t="s">
        <v>131</v>
      </c>
      <c r="C28" s="200"/>
      <c r="D28" s="23">
        <f>I6/(F12*10^-3)</f>
        <v>198.70967741935482</v>
      </c>
      <c r="E28" s="153" t="s">
        <v>4</v>
      </c>
      <c r="F28" s="58">
        <f>D28/1000</f>
        <v>0.19870967741935483</v>
      </c>
      <c r="G28" s="19" t="s">
        <v>3</v>
      </c>
      <c r="H28" s="6"/>
      <c r="I28" s="60">
        <f>ROUND(D28,0)</f>
        <v>199</v>
      </c>
      <c r="J28" s="67" t="s">
        <v>34</v>
      </c>
      <c r="K28" s="56"/>
      <c r="L28" s="25"/>
      <c r="M28" s="6"/>
      <c r="N28" s="6"/>
      <c r="O28" s="6"/>
      <c r="P28" s="7"/>
      <c r="Q28" s="5">
        <v>-0.9</v>
      </c>
      <c r="R28" s="6" t="s">
        <v>159</v>
      </c>
      <c r="S28" s="6"/>
      <c r="T28" s="6"/>
      <c r="U28" s="8"/>
      <c r="V28" s="8"/>
      <c r="W28" s="192"/>
      <c r="X28" s="8"/>
      <c r="Y28" s="8"/>
      <c r="Z28" s="8"/>
      <c r="AA28" s="8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7"/>
    </row>
    <row r="29" spans="1:40" ht="15.75">
      <c r="A29" s="5"/>
      <c r="B29" s="6"/>
      <c r="C29" s="6"/>
      <c r="D29" s="6"/>
      <c r="E29" s="6"/>
      <c r="F29" s="6"/>
      <c r="G29" s="6"/>
      <c r="H29" s="6"/>
      <c r="I29" s="6"/>
      <c r="J29" s="6"/>
      <c r="K29" s="34"/>
      <c r="L29" s="6"/>
      <c r="M29" s="6"/>
      <c r="N29" s="6"/>
      <c r="O29" s="6"/>
      <c r="P29" s="7"/>
      <c r="Q29" s="111">
        <v>-1</v>
      </c>
      <c r="R29" s="6"/>
      <c r="S29" s="6"/>
      <c r="T29" s="6"/>
      <c r="U29" s="179" t="s">
        <v>165</v>
      </c>
      <c r="V29" s="183">
        <f>+$C$6</f>
        <v>154</v>
      </c>
      <c r="W29" s="244" t="str">
        <f>+$S$1</f>
        <v>2N2907A</v>
      </c>
      <c r="X29" s="244"/>
      <c r="Y29" s="161"/>
      <c r="Z29" s="185"/>
      <c r="AA29" s="198" t="s">
        <v>15</v>
      </c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6"/>
      <c r="AM29" s="6"/>
      <c r="AN29" s="7"/>
    </row>
    <row r="30" spans="1:40">
      <c r="A30" s="5"/>
      <c r="B30" s="26" t="s">
        <v>169</v>
      </c>
      <c r="C30" s="26"/>
      <c r="D30" s="26"/>
      <c r="E30" s="27"/>
      <c r="F30" s="28"/>
      <c r="G30" s="28"/>
      <c r="H30" s="26"/>
      <c r="I30" s="26"/>
      <c r="J30" s="26"/>
      <c r="K30" s="26"/>
      <c r="L30" s="13"/>
      <c r="M30" s="6"/>
      <c r="N30" s="6"/>
      <c r="O30" s="6"/>
      <c r="P30" s="7"/>
      <c r="Q30" s="8"/>
      <c r="R30" s="8"/>
      <c r="S30" s="6"/>
      <c r="T30" s="6"/>
      <c r="U30" s="186" t="s">
        <v>211</v>
      </c>
      <c r="V30" s="190">
        <f>+F37</f>
        <v>162.80905604349522</v>
      </c>
      <c r="W30" s="34" t="s">
        <v>246</v>
      </c>
      <c r="X30" s="161"/>
      <c r="Y30" s="244" t="str">
        <f>+$S$1</f>
        <v>2N2907A</v>
      </c>
      <c r="Z30" s="244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7"/>
    </row>
    <row r="31" spans="1:40">
      <c r="A31" s="5"/>
      <c r="B31" s="26" t="s">
        <v>85</v>
      </c>
      <c r="C31" s="8"/>
      <c r="D31" s="8"/>
      <c r="E31" s="8"/>
      <c r="F31" s="104">
        <f>+F97</f>
        <v>0.99009900990099009</v>
      </c>
      <c r="G31" s="19" t="s">
        <v>3</v>
      </c>
      <c r="H31" s="26" t="s">
        <v>142</v>
      </c>
      <c r="I31" s="26"/>
      <c r="J31" s="26"/>
      <c r="K31" s="26"/>
      <c r="L31" s="13"/>
      <c r="M31" s="6"/>
      <c r="N31" s="6"/>
      <c r="O31" s="6"/>
      <c r="P31" s="7"/>
      <c r="Q31" s="8"/>
      <c r="R31" s="8"/>
      <c r="S31" s="6"/>
      <c r="T31" s="6"/>
      <c r="U31" s="161" t="s">
        <v>211</v>
      </c>
      <c r="V31" s="190">
        <f>+'2N2907A'!$J$93</f>
        <v>146.19999999999999</v>
      </c>
      <c r="W31" s="34" t="str">
        <f>+W5</f>
        <v>Default for 2N2907A i simulator program</v>
      </c>
      <c r="X31" s="161"/>
      <c r="Y31" s="161"/>
      <c r="Z31" s="34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7"/>
    </row>
    <row r="32" spans="1:40">
      <c r="A32" s="5"/>
      <c r="B32" s="11" t="s">
        <v>173</v>
      </c>
      <c r="C32" s="11"/>
      <c r="D32" s="11"/>
      <c r="E32" s="8"/>
      <c r="F32" s="64">
        <f>D28+F33</f>
        <v>204.24315892704331</v>
      </c>
      <c r="G32" s="65" t="s">
        <v>4</v>
      </c>
      <c r="H32" s="6" t="s">
        <v>228</v>
      </c>
      <c r="I32" s="6"/>
      <c r="J32" s="6"/>
      <c r="K32" s="34"/>
      <c r="L32" s="6"/>
      <c r="M32" s="6"/>
      <c r="N32" s="6"/>
      <c r="O32" s="6"/>
      <c r="P32" s="7"/>
      <c r="Q32" s="245" t="s">
        <v>192</v>
      </c>
      <c r="R32" s="246"/>
      <c r="S32" s="125">
        <f>S37/S44</f>
        <v>5.5334815076884958</v>
      </c>
      <c r="T32" s="126" t="s">
        <v>4</v>
      </c>
      <c r="U32" s="161" t="s">
        <v>211</v>
      </c>
      <c r="V32" s="190">
        <f>+BC557B!$J$93</f>
        <v>103.325</v>
      </c>
      <c r="W32" s="34" t="str">
        <f>+W6</f>
        <v>Default for BC557B i simulator program</v>
      </c>
      <c r="X32" s="161"/>
      <c r="Y32" s="161"/>
      <c r="Z32" s="34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7"/>
    </row>
    <row r="33" spans="1:40">
      <c r="A33" s="5"/>
      <c r="B33" s="6" t="s">
        <v>136</v>
      </c>
      <c r="C33" s="6"/>
      <c r="D33" s="6"/>
      <c r="E33" s="6" t="s">
        <v>186</v>
      </c>
      <c r="F33" s="58">
        <f>L33/F12</f>
        <v>5.5334815076884958</v>
      </c>
      <c r="G33" s="65" t="s">
        <v>4</v>
      </c>
      <c r="H33" s="11" t="s">
        <v>195</v>
      </c>
      <c r="I33" s="6"/>
      <c r="J33" s="6"/>
      <c r="K33" s="34"/>
      <c r="L33" s="130">
        <f>+S37</f>
        <v>-27.847066028951847</v>
      </c>
      <c r="M33" s="11" t="s">
        <v>137</v>
      </c>
      <c r="N33" s="129" t="s">
        <v>201</v>
      </c>
      <c r="O33" s="6"/>
      <c r="P33" s="7"/>
      <c r="Q33" s="8"/>
      <c r="R33" s="8"/>
      <c r="S33" s="8"/>
      <c r="T33" s="8"/>
      <c r="U33" s="8"/>
      <c r="V33" s="8"/>
      <c r="W33" s="192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6"/>
      <c r="AN33" s="7"/>
    </row>
    <row r="34" spans="1:40">
      <c r="A34" s="5"/>
      <c r="B34" s="11" t="s">
        <v>220</v>
      </c>
      <c r="C34" s="6"/>
      <c r="D34" s="6"/>
      <c r="E34" s="6"/>
      <c r="F34" s="125">
        <f>+D28+F35</f>
        <v>226.55674344830666</v>
      </c>
      <c r="G34" s="65" t="s">
        <v>4</v>
      </c>
      <c r="H34" s="11"/>
      <c r="I34" s="6"/>
      <c r="J34" s="6"/>
      <c r="K34" s="34"/>
      <c r="L34" s="149"/>
      <c r="M34" s="11"/>
      <c r="N34" s="6"/>
      <c r="O34" s="6"/>
      <c r="P34" s="7"/>
      <c r="Q34" s="8"/>
      <c r="R34" s="127"/>
      <c r="S34" s="127"/>
      <c r="T34" s="127"/>
      <c r="U34" s="6"/>
      <c r="V34" s="6"/>
      <c r="W34" s="22"/>
      <c r="X34" s="6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6"/>
      <c r="AN34" s="7"/>
    </row>
    <row r="35" spans="1:40">
      <c r="A35" s="5"/>
      <c r="B35" s="6" t="s">
        <v>215</v>
      </c>
      <c r="C35" s="6"/>
      <c r="D35" s="6"/>
      <c r="E35" s="6" t="s">
        <v>216</v>
      </c>
      <c r="F35" s="102">
        <f>L33/F13</f>
        <v>27.847066028951847</v>
      </c>
      <c r="G35" s="65" t="s">
        <v>4</v>
      </c>
      <c r="H35" s="11"/>
      <c r="I35" s="6"/>
      <c r="J35" s="6"/>
      <c r="K35" s="34"/>
      <c r="L35" s="149"/>
      <c r="M35" s="11"/>
      <c r="N35" s="6"/>
      <c r="O35" s="6"/>
      <c r="P35" s="7"/>
      <c r="Q35" s="222" t="s">
        <v>182</v>
      </c>
      <c r="R35" s="223"/>
      <c r="S35" s="223"/>
      <c r="T35" s="223"/>
      <c r="U35" s="6"/>
      <c r="V35" s="6"/>
      <c r="W35" s="22"/>
      <c r="X35" s="6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6"/>
      <c r="AN35" s="7"/>
    </row>
    <row r="36" spans="1:40">
      <c r="A36" s="5"/>
      <c r="B36" s="6" t="s">
        <v>221</v>
      </c>
      <c r="C36" s="6"/>
      <c r="D36" s="6"/>
      <c r="E36" s="108"/>
      <c r="F36" s="58">
        <f>((F31*J6)/(F31+J6))*1000/F32</f>
        <v>4.4109232624173575</v>
      </c>
      <c r="G36" s="167"/>
      <c r="H36" s="166" t="s">
        <v>223</v>
      </c>
      <c r="I36" s="82"/>
      <c r="J36" s="34"/>
      <c r="K36" s="34"/>
      <c r="L36" s="34"/>
      <c r="M36" s="208"/>
      <c r="N36" s="208"/>
      <c r="O36" s="6"/>
      <c r="P36" s="7"/>
      <c r="Q36" s="8"/>
      <c r="R36" s="6"/>
      <c r="S36" s="6"/>
      <c r="T36" s="6"/>
      <c r="U36" s="6"/>
      <c r="V36" s="6"/>
      <c r="W36" s="22"/>
      <c r="X36" s="6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6"/>
      <c r="AN36" s="7"/>
    </row>
    <row r="37" spans="1:40">
      <c r="A37" s="5"/>
      <c r="B37" s="6" t="s">
        <v>145</v>
      </c>
      <c r="C37" s="6"/>
      <c r="D37" s="6"/>
      <c r="E37" s="109"/>
      <c r="F37" s="57">
        <f>((F31*J6)/(F31+J6))*1000/F33</f>
        <v>162.80905604349522</v>
      </c>
      <c r="G37" s="167"/>
      <c r="H37" s="166" t="s">
        <v>224</v>
      </c>
      <c r="I37" s="83"/>
      <c r="J37" s="34"/>
      <c r="K37" s="34"/>
      <c r="L37" s="34"/>
      <c r="M37" s="208"/>
      <c r="N37" s="208"/>
      <c r="O37" s="6"/>
      <c r="P37" s="7"/>
      <c r="Q37" s="8" t="s">
        <v>197</v>
      </c>
      <c r="R37" s="8"/>
      <c r="S37" s="128">
        <f>(S43*S40)*1000</f>
        <v>-27.847066028951847</v>
      </c>
      <c r="T37" s="8" t="s">
        <v>183</v>
      </c>
      <c r="U37" s="6"/>
      <c r="V37" s="6"/>
      <c r="W37" s="22"/>
      <c r="X37" s="6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6"/>
      <c r="AN37" s="7"/>
    </row>
    <row r="38" spans="1:40">
      <c r="A38" s="5"/>
      <c r="B38" s="6" t="s">
        <v>222</v>
      </c>
      <c r="C38" s="6"/>
      <c r="D38" s="30"/>
      <c r="E38" s="29"/>
      <c r="F38" s="58">
        <f>((F31*J6)/(F31+J6))*1000/F34</f>
        <v>3.9764912188829147</v>
      </c>
      <c r="G38" s="167"/>
      <c r="H38" s="166" t="s">
        <v>225</v>
      </c>
      <c r="I38" s="82"/>
      <c r="J38" s="6"/>
      <c r="K38" s="34"/>
      <c r="L38" s="6"/>
      <c r="M38" s="77"/>
      <c r="N38" s="77"/>
      <c r="O38" s="6"/>
      <c r="P38" s="7"/>
      <c r="Q38" s="8" t="s">
        <v>203</v>
      </c>
      <c r="R38" s="8"/>
      <c r="S38" s="8"/>
      <c r="T38" s="8"/>
      <c r="U38" s="6"/>
      <c r="V38" s="6"/>
      <c r="W38" s="22"/>
      <c r="X38" s="6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120"/>
      <c r="AN38" s="7"/>
    </row>
    <row r="39" spans="1:40">
      <c r="A39" s="5"/>
      <c r="B39" s="6"/>
      <c r="C39" s="6"/>
      <c r="D39" s="30"/>
      <c r="E39" s="29"/>
      <c r="F39" s="58"/>
      <c r="G39" s="153"/>
      <c r="H39" s="153"/>
      <c r="I39" s="82"/>
      <c r="J39" s="6"/>
      <c r="K39" s="34"/>
      <c r="L39" s="6"/>
      <c r="M39" s="77"/>
      <c r="N39" s="77"/>
      <c r="O39" s="6"/>
      <c r="P39" s="7"/>
      <c r="Q39" s="8" t="s">
        <v>193</v>
      </c>
      <c r="R39" s="8"/>
      <c r="S39" s="8" t="s">
        <v>187</v>
      </c>
      <c r="T39" s="8" t="s">
        <v>188</v>
      </c>
      <c r="U39" s="6"/>
      <c r="V39" s="6"/>
      <c r="W39" s="22"/>
      <c r="X39" s="6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7"/>
    </row>
    <row r="40" spans="1:40" ht="15.75" thickBot="1">
      <c r="A40" s="5"/>
      <c r="B40" s="6" t="s">
        <v>69</v>
      </c>
      <c r="C40" s="6"/>
      <c r="D40" s="6"/>
      <c r="E40" s="6"/>
      <c r="F40" s="6"/>
      <c r="G40" s="6"/>
      <c r="H40" s="6"/>
      <c r="I40" s="6"/>
      <c r="J40" s="6"/>
      <c r="K40" s="34"/>
      <c r="L40" s="6"/>
      <c r="M40" s="6"/>
      <c r="N40" s="6"/>
      <c r="O40" s="6"/>
      <c r="P40" s="7"/>
      <c r="Q40" s="8" t="s">
        <v>174</v>
      </c>
      <c r="R40" s="6"/>
      <c r="S40" s="21">
        <f>S41+S45</f>
        <v>323.14999999999998</v>
      </c>
      <c r="T40" s="6" t="s">
        <v>179</v>
      </c>
      <c r="U40" s="6"/>
      <c r="V40" s="6"/>
      <c r="W40" s="11"/>
      <c r="X40" s="11"/>
      <c r="Y40" s="6"/>
      <c r="Z40" s="6"/>
      <c r="AA40" s="6"/>
      <c r="AB40" s="217" t="str">
        <f>+AB13</f>
        <v>23 kΩ</v>
      </c>
      <c r="AC40" s="217"/>
      <c r="AD40" s="6"/>
      <c r="AE40" s="6"/>
      <c r="AF40" s="217" t="str">
        <f>+AF13</f>
        <v>1 kΩ</v>
      </c>
      <c r="AG40" s="217"/>
      <c r="AH40" s="6"/>
      <c r="AI40" s="6"/>
      <c r="AJ40" s="6"/>
      <c r="AK40" s="6"/>
      <c r="AL40" s="6"/>
      <c r="AM40" s="6"/>
      <c r="AN40" s="7"/>
    </row>
    <row r="41" spans="1:40" ht="15.75" thickBot="1">
      <c r="A41" s="5"/>
      <c r="B41" s="6" t="s">
        <v>70</v>
      </c>
      <c r="C41" s="6"/>
      <c r="D41" s="6"/>
      <c r="E41" s="6"/>
      <c r="F41" s="6"/>
      <c r="G41" s="6"/>
      <c r="H41" s="6"/>
      <c r="I41" s="6"/>
      <c r="J41" s="6"/>
      <c r="K41" s="34"/>
      <c r="L41" s="6"/>
      <c r="M41" s="6"/>
      <c r="N41" s="6"/>
      <c r="O41" s="6"/>
      <c r="P41" s="7"/>
      <c r="Q41" s="8" t="s">
        <v>196</v>
      </c>
      <c r="R41" s="8"/>
      <c r="S41" s="124">
        <v>50</v>
      </c>
      <c r="T41" s="123" t="s">
        <v>180</v>
      </c>
      <c r="U41" s="6"/>
      <c r="V41" s="6"/>
      <c r="W41" s="22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8"/>
      <c r="AN41" s="7"/>
    </row>
    <row r="42" spans="1:40">
      <c r="A42" s="5"/>
      <c r="B42" s="6" t="s">
        <v>71</v>
      </c>
      <c r="C42" s="6"/>
      <c r="D42" s="6"/>
      <c r="E42" s="6"/>
      <c r="F42" s="6"/>
      <c r="G42" s="6"/>
      <c r="H42" s="6"/>
      <c r="I42" s="6"/>
      <c r="J42" s="6"/>
      <c r="K42" s="34"/>
      <c r="L42" s="6"/>
      <c r="M42" s="6"/>
      <c r="N42" s="6"/>
      <c r="O42" s="6"/>
      <c r="P42" s="7"/>
      <c r="Q42" s="8" t="s">
        <v>200</v>
      </c>
      <c r="R42" s="8"/>
      <c r="S42" s="8" t="s">
        <v>189</v>
      </c>
      <c r="T42" s="6" t="s">
        <v>191</v>
      </c>
      <c r="U42" s="6"/>
      <c r="V42" s="6"/>
      <c r="W42" s="22"/>
      <c r="X42" s="6"/>
      <c r="Y42" s="6"/>
      <c r="Z42" s="6"/>
      <c r="AA42" s="6"/>
      <c r="AB42" s="218" t="str">
        <f>+AB15</f>
        <v>2N2907A</v>
      </c>
      <c r="AC42" s="218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7"/>
    </row>
    <row r="43" spans="1:40" ht="15.75" thickBot="1">
      <c r="A43" s="5"/>
      <c r="B43" s="6" t="s">
        <v>72</v>
      </c>
      <c r="C43" s="6"/>
      <c r="D43" s="6"/>
      <c r="E43" s="6"/>
      <c r="F43" s="6"/>
      <c r="G43" s="6"/>
      <c r="H43" s="6"/>
      <c r="I43" s="6"/>
      <c r="J43" s="6"/>
      <c r="K43" s="34"/>
      <c r="L43" s="6"/>
      <c r="M43" s="6"/>
      <c r="N43" s="152"/>
      <c r="O43" s="6"/>
      <c r="P43" s="7"/>
      <c r="Q43" s="8" t="s">
        <v>194</v>
      </c>
      <c r="R43" s="8"/>
      <c r="S43" s="8">
        <f>(1.3806488/10^23)/((1.602167565/10^19))*-1</f>
        <v>-8.6173807918774094E-5</v>
      </c>
      <c r="T43" s="6" t="s">
        <v>177</v>
      </c>
      <c r="U43" s="6"/>
      <c r="V43" s="6"/>
      <c r="W43" s="22"/>
      <c r="X43" s="6"/>
      <c r="Y43" s="6"/>
      <c r="Z43" s="6"/>
      <c r="AA43" s="6"/>
      <c r="AB43" s="8"/>
      <c r="AC43" s="8"/>
      <c r="AD43" s="6"/>
      <c r="AE43" s="6"/>
      <c r="AF43" s="6"/>
      <c r="AG43" s="218" t="str">
        <f>+AG16</f>
        <v>0,16  uF</v>
      </c>
      <c r="AH43" s="218"/>
      <c r="AI43" s="6"/>
      <c r="AJ43" s="6"/>
      <c r="AK43" s="6"/>
      <c r="AL43" s="6"/>
      <c r="AM43" s="6"/>
      <c r="AN43" s="7"/>
    </row>
    <row r="44" spans="1:40" ht="16.5" thickBot="1">
      <c r="A44" s="5"/>
      <c r="B44" s="6" t="s">
        <v>73</v>
      </c>
      <c r="C44" s="6"/>
      <c r="D44" s="6"/>
      <c r="E44" s="6"/>
      <c r="F44" s="6"/>
      <c r="G44" s="6"/>
      <c r="H44" s="6"/>
      <c r="I44" s="6"/>
      <c r="J44" s="6"/>
      <c r="K44" s="34"/>
      <c r="L44" s="6"/>
      <c r="M44" s="31" t="s">
        <v>31</v>
      </c>
      <c r="N44" s="52">
        <v>10</v>
      </c>
      <c r="O44" s="6"/>
      <c r="P44" s="7"/>
      <c r="Q44" s="5" t="s">
        <v>175</v>
      </c>
      <c r="R44" s="6"/>
      <c r="S44" s="55">
        <f>+F12</f>
        <v>-5.0324675324675328</v>
      </c>
      <c r="T44" s="6" t="s">
        <v>176</v>
      </c>
      <c r="U44" s="6"/>
      <c r="V44" s="6"/>
      <c r="W44" s="22"/>
      <c r="X44" s="6"/>
      <c r="Y44" s="6"/>
      <c r="Z44" s="6"/>
      <c r="AA44" s="6"/>
      <c r="AB44" s="6"/>
      <c r="AC44" s="6"/>
      <c r="AD44" s="6"/>
      <c r="AE44" s="6"/>
      <c r="AF44" s="6"/>
      <c r="AG44" s="8"/>
      <c r="AH44" s="8"/>
      <c r="AI44" s="6"/>
      <c r="AJ44" s="6"/>
      <c r="AK44" s="6"/>
      <c r="AL44" s="6"/>
      <c r="AM44" s="6"/>
      <c r="AN44" s="7"/>
    </row>
    <row r="45" spans="1:40">
      <c r="A45" s="5"/>
      <c r="B45" s="6"/>
      <c r="C45" s="6"/>
      <c r="D45" s="6"/>
      <c r="E45" s="6"/>
      <c r="F45" s="6"/>
      <c r="G45" s="6"/>
      <c r="H45" s="6"/>
      <c r="I45" s="6"/>
      <c r="J45" s="6"/>
      <c r="K45" s="34"/>
      <c r="L45" s="6"/>
      <c r="M45" s="6"/>
      <c r="N45" s="6"/>
      <c r="O45" s="6"/>
      <c r="P45" s="7"/>
      <c r="Q45" s="5" t="s">
        <v>181</v>
      </c>
      <c r="R45" s="8"/>
      <c r="S45" s="6">
        <v>273.14999999999998</v>
      </c>
      <c r="T45" s="39" t="s">
        <v>178</v>
      </c>
      <c r="U45" s="6"/>
      <c r="V45" s="6"/>
      <c r="W45" s="22"/>
      <c r="X45" s="6"/>
      <c r="Y45" s="218" t="str">
        <f>+Y18</f>
        <v>2,24  uF</v>
      </c>
      <c r="Z45" s="218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218" t="str">
        <f>+AL18</f>
        <v>-10 Volt</v>
      </c>
      <c r="AM45" s="218"/>
      <c r="AN45" s="7"/>
    </row>
    <row r="46" spans="1:40">
      <c r="A46" s="5"/>
      <c r="B46" s="32" t="s">
        <v>15</v>
      </c>
      <c r="C46" s="6"/>
      <c r="D46" s="6"/>
      <c r="E46" s="6"/>
      <c r="F46" s="6"/>
      <c r="G46" s="6"/>
      <c r="H46" s="6"/>
      <c r="I46" s="6"/>
      <c r="J46" s="6"/>
      <c r="K46" s="34"/>
      <c r="L46" s="6"/>
      <c r="M46" s="6"/>
      <c r="N46" s="152"/>
      <c r="O46" s="6"/>
      <c r="P46" s="7"/>
      <c r="Q46" s="5" t="s">
        <v>198</v>
      </c>
      <c r="R46" s="127"/>
      <c r="S46" s="6"/>
      <c r="T46" s="6"/>
      <c r="U46" s="6"/>
      <c r="V46" s="6"/>
      <c r="W46" s="22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7"/>
    </row>
    <row r="47" spans="1:40">
      <c r="A47" s="5"/>
      <c r="B47" s="200" t="s">
        <v>132</v>
      </c>
      <c r="C47" s="200"/>
      <c r="D47" s="8"/>
      <c r="E47" s="8"/>
      <c r="F47" s="57">
        <f>D28/N44</f>
        <v>19.87096774193548</v>
      </c>
      <c r="G47" s="65" t="s">
        <v>4</v>
      </c>
      <c r="H47" s="6"/>
      <c r="I47" s="6"/>
      <c r="J47" s="6"/>
      <c r="K47" s="34"/>
      <c r="L47" s="6"/>
      <c r="M47" s="6"/>
      <c r="N47" s="6"/>
      <c r="O47" s="152"/>
      <c r="P47" s="75"/>
      <c r="Q47" s="5" t="s">
        <v>199</v>
      </c>
      <c r="R47" s="6"/>
      <c r="S47" s="8"/>
      <c r="T47" s="8"/>
      <c r="U47" s="6"/>
      <c r="V47" s="6"/>
      <c r="W47" s="22"/>
      <c r="X47" s="6"/>
      <c r="Y47" s="8"/>
      <c r="Z47" s="8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8"/>
      <c r="AM47" s="6"/>
      <c r="AN47" s="7"/>
    </row>
    <row r="48" spans="1:40">
      <c r="A48" s="5"/>
      <c r="B48" s="200" t="s">
        <v>147</v>
      </c>
      <c r="C48" s="200"/>
      <c r="D48" s="8"/>
      <c r="E48" s="8"/>
      <c r="F48" s="58">
        <f>(1/(2*PI()*K6*F47))*10^6</f>
        <v>80.094208374168119</v>
      </c>
      <c r="G48" s="19" t="s">
        <v>14</v>
      </c>
      <c r="H48" s="6"/>
      <c r="I48" s="60">
        <f>ROUND(F48,0)</f>
        <v>80</v>
      </c>
      <c r="J48" s="14" t="s">
        <v>36</v>
      </c>
      <c r="K48" s="56"/>
      <c r="L48" s="6"/>
      <c r="M48" s="6"/>
      <c r="N48" s="6"/>
      <c r="O48" s="152"/>
      <c r="P48" s="75"/>
      <c r="Q48" s="8"/>
      <c r="R48" s="8"/>
      <c r="S48" s="8"/>
      <c r="T48" s="8"/>
      <c r="U48" s="6"/>
      <c r="V48" s="6"/>
      <c r="W48" s="22"/>
      <c r="X48" s="6"/>
      <c r="Y48" s="6"/>
      <c r="Z48" s="6"/>
      <c r="AA48" s="6"/>
      <c r="AB48" s="217" t="str">
        <f>+AB21</f>
        <v>5,2 kΩ</v>
      </c>
      <c r="AC48" s="217"/>
      <c r="AD48" s="6"/>
      <c r="AE48" s="6"/>
      <c r="AF48" s="217" t="str">
        <f>+AF21</f>
        <v>199 Ω</v>
      </c>
      <c r="AG48" s="217"/>
      <c r="AH48" s="6"/>
      <c r="AI48" s="6"/>
      <c r="AJ48" s="217" t="str">
        <f>+AJ21</f>
        <v>10 kΩ</v>
      </c>
      <c r="AK48" s="217"/>
      <c r="AL48" s="6"/>
      <c r="AM48" s="6"/>
      <c r="AN48" s="7"/>
    </row>
    <row r="49" spans="1:40">
      <c r="A49" s="5"/>
      <c r="B49" s="200" t="s">
        <v>148</v>
      </c>
      <c r="C49" s="200"/>
      <c r="D49" s="8"/>
      <c r="E49" s="8"/>
      <c r="F49" s="57">
        <f>1/(2*PI()*K6*F48*10^-6)</f>
        <v>19.870967741935484</v>
      </c>
      <c r="G49" s="65" t="s">
        <v>4</v>
      </c>
      <c r="H49" s="152" t="s">
        <v>25</v>
      </c>
      <c r="I49" s="149" t="str">
        <f>CONCATENATE("Ved ",K5,K4,K6)</f>
        <v>Ved Nedre Grænse frekvens i Hz 100</v>
      </c>
      <c r="J49" s="6"/>
      <c r="K49" s="6"/>
      <c r="L49" s="6"/>
      <c r="M49" s="6"/>
      <c r="N49" s="6"/>
      <c r="O49" s="152"/>
      <c r="P49" s="75"/>
      <c r="Q49" s="5"/>
      <c r="R49" s="6"/>
      <c r="S49" s="6"/>
      <c r="T49" s="6"/>
      <c r="U49" s="6"/>
      <c r="V49" s="6"/>
      <c r="W49" s="22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7"/>
    </row>
    <row r="50" spans="1:40">
      <c r="A50" s="5"/>
      <c r="B50" s="200" t="s">
        <v>149</v>
      </c>
      <c r="C50" s="200"/>
      <c r="D50" s="8"/>
      <c r="E50" s="8"/>
      <c r="F50" s="69">
        <f>1/(2*PI()*L6*F48*10^-6)</f>
        <v>6.6236559139784948E-2</v>
      </c>
      <c r="G50" s="65" t="s">
        <v>4</v>
      </c>
      <c r="H50" s="152" t="s">
        <v>25</v>
      </c>
      <c r="I50" s="149" t="str">
        <f>CONCATENATE("Ved ",L5,K4,L6)</f>
        <v>Ved Øvre Grænse frekvens i Hz 30000</v>
      </c>
      <c r="J50" s="6"/>
      <c r="K50" s="6"/>
      <c r="L50" s="6"/>
      <c r="M50" s="6"/>
      <c r="N50" s="6"/>
      <c r="O50" s="152"/>
      <c r="P50" s="75"/>
      <c r="Q50" s="5"/>
      <c r="R50" s="6"/>
      <c r="S50" s="6"/>
      <c r="T50" s="6"/>
      <c r="U50" s="6"/>
      <c r="V50" s="6"/>
      <c r="W50" s="22"/>
      <c r="X50" s="6"/>
      <c r="Y50" s="6"/>
      <c r="Z50" s="6"/>
      <c r="AA50" s="6"/>
      <c r="AB50" s="8"/>
      <c r="AC50" s="8"/>
      <c r="AD50" s="6"/>
      <c r="AE50" s="6"/>
      <c r="AF50" s="8"/>
      <c r="AG50" s="8"/>
      <c r="AH50" s="6"/>
      <c r="AI50" s="6"/>
      <c r="AJ50" s="8"/>
      <c r="AK50" s="8"/>
      <c r="AL50" s="6"/>
      <c r="AM50" s="6"/>
      <c r="AN50" s="7"/>
    </row>
    <row r="51" spans="1:40">
      <c r="A51" s="5"/>
      <c r="B51" s="6"/>
      <c r="C51" s="6"/>
      <c r="D51" s="6"/>
      <c r="E51" s="6"/>
      <c r="F51" s="6"/>
      <c r="G51" s="6"/>
      <c r="H51" s="6"/>
      <c r="I51" s="6"/>
      <c r="J51" s="6"/>
      <c r="K51" s="34"/>
      <c r="L51" s="6"/>
      <c r="M51" s="6"/>
      <c r="N51" s="6"/>
      <c r="O51" s="6"/>
      <c r="P51" s="7"/>
      <c r="Q51" s="5"/>
      <c r="R51" s="6"/>
      <c r="S51" s="6"/>
      <c r="T51" s="6"/>
      <c r="U51" s="8"/>
      <c r="V51" s="8"/>
      <c r="W51" s="192"/>
      <c r="X51" s="8"/>
      <c r="Y51" s="6"/>
      <c r="Z51" s="6"/>
      <c r="AA51" s="6"/>
      <c r="AB51" s="120"/>
      <c r="AC51" s="120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7"/>
    </row>
    <row r="52" spans="1:40" ht="15.75">
      <c r="A52" s="5"/>
      <c r="B52" s="6" t="s">
        <v>17</v>
      </c>
      <c r="C52" s="6"/>
      <c r="D52" s="6"/>
      <c r="E52" s="6"/>
      <c r="F52" s="6"/>
      <c r="G52" s="6"/>
      <c r="H52" s="6"/>
      <c r="I52" s="6"/>
      <c r="J52" s="6"/>
      <c r="K52" s="34"/>
      <c r="L52" s="6"/>
      <c r="M52" s="6"/>
      <c r="N52" s="6"/>
      <c r="O52" s="6"/>
      <c r="P52" s="7"/>
      <c r="Q52" s="5"/>
      <c r="R52" s="6"/>
      <c r="S52" s="6"/>
      <c r="T52" s="6"/>
      <c r="U52" s="8"/>
      <c r="V52" s="8"/>
      <c r="W52" s="192"/>
      <c r="X52" s="8"/>
      <c r="Y52" s="6"/>
      <c r="Z52" s="6"/>
      <c r="AA52" s="6"/>
      <c r="AB52" s="216" t="str">
        <f>CONCATENATE(R13,S13)</f>
        <v>80 uF</v>
      </c>
      <c r="AC52" s="216"/>
      <c r="AD52" s="6"/>
      <c r="AE52" s="6"/>
      <c r="AF52" s="6"/>
      <c r="AG52" s="6"/>
      <c r="AH52" s="6"/>
      <c r="AI52" s="6"/>
      <c r="AJ52" s="6"/>
      <c r="AK52" s="6"/>
      <c r="AL52" s="6"/>
      <c r="AM52" s="79"/>
      <c r="AN52" s="7"/>
    </row>
    <row r="53" spans="1:40">
      <c r="A53" s="5"/>
      <c r="B53" s="6" t="s">
        <v>16</v>
      </c>
      <c r="C53" s="6"/>
      <c r="D53" s="6"/>
      <c r="E53" s="6"/>
      <c r="F53" s="6"/>
      <c r="G53" s="6"/>
      <c r="H53" s="6"/>
      <c r="I53" s="6"/>
      <c r="J53" s="6"/>
      <c r="K53" s="34"/>
      <c r="L53" s="6"/>
      <c r="M53" s="6"/>
      <c r="N53" s="6"/>
      <c r="O53" s="18"/>
      <c r="P53" s="7"/>
      <c r="Q53" s="5"/>
      <c r="R53" s="6"/>
      <c r="S53" s="6"/>
      <c r="T53" s="6"/>
      <c r="U53" s="8"/>
      <c r="V53" s="8"/>
      <c r="W53" s="192"/>
      <c r="X53" s="8"/>
      <c r="Y53" s="8"/>
      <c r="Z53" s="8"/>
      <c r="AA53" s="8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7"/>
    </row>
    <row r="54" spans="1:40">
      <c r="A54" s="5"/>
      <c r="B54" s="6" t="s">
        <v>19</v>
      </c>
      <c r="C54" s="6"/>
      <c r="D54" s="6"/>
      <c r="E54" s="6"/>
      <c r="F54" s="6"/>
      <c r="G54" s="6"/>
      <c r="H54" s="6"/>
      <c r="I54" s="6"/>
      <c r="J54" s="6"/>
      <c r="K54" s="34"/>
      <c r="L54" s="6"/>
      <c r="M54" s="6"/>
      <c r="N54" s="6"/>
      <c r="O54" s="18"/>
      <c r="P54" s="7"/>
      <c r="Q54" s="5"/>
      <c r="R54" s="6"/>
      <c r="S54" s="6"/>
      <c r="T54" s="6"/>
      <c r="U54" s="8"/>
      <c r="V54" s="8"/>
      <c r="W54" s="192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7"/>
    </row>
    <row r="55" spans="1:40">
      <c r="A55" s="5"/>
      <c r="B55" s="6" t="s">
        <v>56</v>
      </c>
      <c r="C55" s="6"/>
      <c r="D55" s="6"/>
      <c r="E55" s="6"/>
      <c r="F55" s="6"/>
      <c r="G55" s="6"/>
      <c r="H55" s="6"/>
      <c r="I55" s="6"/>
      <c r="J55" s="6"/>
      <c r="K55" s="34"/>
      <c r="L55" s="6"/>
      <c r="M55" s="6"/>
      <c r="N55" s="6"/>
      <c r="O55" s="6"/>
      <c r="P55" s="7"/>
      <c r="Q55" s="8"/>
      <c r="R55" s="6"/>
      <c r="S55" s="6"/>
      <c r="T55" s="6"/>
      <c r="U55" s="6"/>
      <c r="V55" s="194"/>
      <c r="W55" s="22"/>
      <c r="X55" s="6"/>
      <c r="Y55" s="195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7"/>
    </row>
    <row r="56" spans="1:40" ht="15.75">
      <c r="A56" s="5"/>
      <c r="B56" s="6"/>
      <c r="C56" s="6"/>
      <c r="D56" s="6"/>
      <c r="E56" s="6"/>
      <c r="F56" s="6"/>
      <c r="G56" s="6"/>
      <c r="H56" s="6"/>
      <c r="I56" s="6"/>
      <c r="J56" s="6"/>
      <c r="K56" s="34"/>
      <c r="L56" s="6"/>
      <c r="M56" s="6"/>
      <c r="N56" s="152"/>
      <c r="O56" s="6"/>
      <c r="P56" s="7"/>
      <c r="Q56" s="8"/>
      <c r="R56" s="6"/>
      <c r="S56" s="6"/>
      <c r="T56" s="6"/>
      <c r="U56" s="179" t="s">
        <v>165</v>
      </c>
      <c r="V56" s="183">
        <f>+$C$6</f>
        <v>154</v>
      </c>
      <c r="W56" s="244" t="str">
        <f>+$S$1</f>
        <v>2N2907A</v>
      </c>
      <c r="X56" s="244"/>
      <c r="Y56" s="185"/>
      <c r="Z56" s="185"/>
      <c r="AA56" s="198" t="s">
        <v>20</v>
      </c>
      <c r="AB56" s="198"/>
      <c r="AC56" s="198"/>
      <c r="AD56" s="198"/>
      <c r="AE56" s="198"/>
      <c r="AF56" s="198"/>
      <c r="AG56" s="198"/>
      <c r="AH56" s="198"/>
      <c r="AI56" s="198"/>
      <c r="AJ56" s="198"/>
      <c r="AK56" s="198"/>
      <c r="AL56" s="6"/>
      <c r="AM56" s="6"/>
      <c r="AN56" s="7"/>
    </row>
    <row r="57" spans="1:40">
      <c r="A57" s="5"/>
      <c r="B57" s="32" t="s">
        <v>20</v>
      </c>
      <c r="C57" s="6"/>
      <c r="D57" s="6"/>
      <c r="E57" s="6"/>
      <c r="F57" s="6"/>
      <c r="G57" s="6"/>
      <c r="H57" s="6"/>
      <c r="I57" s="6"/>
      <c r="J57" s="6"/>
      <c r="K57" s="34"/>
      <c r="L57" s="6"/>
      <c r="M57" s="6"/>
      <c r="N57" s="152"/>
      <c r="O57" s="6"/>
      <c r="P57" s="7"/>
      <c r="Q57" s="5"/>
      <c r="R57" s="6"/>
      <c r="S57" s="6"/>
      <c r="T57" s="6"/>
      <c r="U57" s="186" t="s">
        <v>211</v>
      </c>
      <c r="V57" s="187">
        <f>+F38</f>
        <v>3.9764912188829147</v>
      </c>
      <c r="W57" s="34" t="s">
        <v>246</v>
      </c>
      <c r="X57" s="161"/>
      <c r="Y57" s="244" t="str">
        <f>+$S$1</f>
        <v>2N2907A</v>
      </c>
      <c r="Z57" s="244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7"/>
    </row>
    <row r="58" spans="1:40">
      <c r="A58" s="5"/>
      <c r="B58" s="33" t="s">
        <v>122</v>
      </c>
      <c r="C58" s="6"/>
      <c r="D58" s="6"/>
      <c r="E58" s="6"/>
      <c r="F58" s="6"/>
      <c r="G58" s="6"/>
      <c r="H58" s="6"/>
      <c r="I58" s="6"/>
      <c r="J58" s="6"/>
      <c r="K58" s="34"/>
      <c r="L58" s="6"/>
      <c r="M58" s="6"/>
      <c r="N58" s="152"/>
      <c r="O58" s="6"/>
      <c r="P58" s="7"/>
      <c r="Q58" s="5"/>
      <c r="R58" s="6"/>
      <c r="S58" s="6"/>
      <c r="T58" s="6"/>
      <c r="U58" s="161" t="s">
        <v>211</v>
      </c>
      <c r="V58" s="188">
        <f>+'2N2907A'!$J$69</f>
        <v>4.0782499999999997</v>
      </c>
      <c r="W58" s="34" t="str">
        <f>+W31</f>
        <v>Default for 2N2907A i simulator program</v>
      </c>
      <c r="X58" s="161"/>
      <c r="Y58" s="34"/>
      <c r="Z58" s="161"/>
      <c r="AA58" s="6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7"/>
    </row>
    <row r="59" spans="1:40">
      <c r="A59" s="5"/>
      <c r="B59" s="33" t="s">
        <v>42</v>
      </c>
      <c r="C59" s="6"/>
      <c r="D59" s="6"/>
      <c r="E59" s="6"/>
      <c r="F59" s="6"/>
      <c r="G59" s="6"/>
      <c r="H59" s="6"/>
      <c r="I59" s="6"/>
      <c r="J59" s="6"/>
      <c r="K59" s="34"/>
      <c r="L59" s="6"/>
      <c r="M59" s="6"/>
      <c r="N59" s="152"/>
      <c r="O59" s="152"/>
      <c r="P59" s="75"/>
      <c r="Q59" s="5"/>
      <c r="R59" s="6"/>
      <c r="S59" s="6"/>
      <c r="T59" s="6"/>
      <c r="U59" s="161" t="s">
        <v>211</v>
      </c>
      <c r="V59" s="188">
        <f>+BC557B!$J$69</f>
        <v>2.6356000000000002</v>
      </c>
      <c r="W59" s="34" t="str">
        <f>+W32</f>
        <v>Default for BC557B i simulator program</v>
      </c>
      <c r="X59" s="161"/>
      <c r="Y59" s="34"/>
      <c r="Z59" s="34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7"/>
    </row>
    <row r="60" spans="1:40">
      <c r="A60" s="5"/>
      <c r="B60" s="6"/>
      <c r="C60" s="6"/>
      <c r="D60" s="6"/>
      <c r="E60" s="6"/>
      <c r="F60" s="6"/>
      <c r="G60" s="6"/>
      <c r="H60" s="6"/>
      <c r="I60" s="6"/>
      <c r="J60" s="6"/>
      <c r="K60" s="34"/>
      <c r="L60" s="6"/>
      <c r="M60" s="6"/>
      <c r="N60" s="6"/>
      <c r="O60" s="6"/>
      <c r="P60" s="7"/>
      <c r="Q60" s="5"/>
      <c r="R60" s="6"/>
      <c r="S60" s="6"/>
      <c r="T60" s="6"/>
      <c r="U60" s="8"/>
      <c r="V60" s="8"/>
      <c r="W60" s="192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7"/>
    </row>
    <row r="61" spans="1:40">
      <c r="A61" s="5"/>
      <c r="B61" s="33" t="s">
        <v>123</v>
      </c>
      <c r="C61" s="6"/>
      <c r="D61" s="6"/>
      <c r="E61" s="6"/>
      <c r="F61" s="6"/>
      <c r="G61" s="6"/>
      <c r="H61" s="6"/>
      <c r="I61" s="6"/>
      <c r="J61" s="6"/>
      <c r="K61" s="34"/>
      <c r="L61" s="6"/>
      <c r="M61" s="6"/>
      <c r="N61" s="6"/>
      <c r="O61" s="6"/>
      <c r="P61" s="7"/>
      <c r="Q61" s="5"/>
      <c r="R61" s="6"/>
      <c r="S61" s="6"/>
      <c r="T61" s="6"/>
      <c r="U61" s="6"/>
      <c r="V61" s="6"/>
      <c r="W61" s="22"/>
      <c r="X61" s="6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7"/>
    </row>
    <row r="62" spans="1:40">
      <c r="A62" s="5"/>
      <c r="B62" s="33" t="s">
        <v>124</v>
      </c>
      <c r="C62" s="6"/>
      <c r="D62" s="6"/>
      <c r="E62" s="6"/>
      <c r="F62" s="6"/>
      <c r="G62" s="6"/>
      <c r="H62" s="6"/>
      <c r="I62" s="6"/>
      <c r="J62" s="6"/>
      <c r="K62" s="34"/>
      <c r="L62" s="6"/>
      <c r="M62" s="6"/>
      <c r="N62" s="6"/>
      <c r="O62" s="6"/>
      <c r="P62" s="7"/>
      <c r="Q62" s="5"/>
      <c r="R62" s="6"/>
      <c r="S62" s="6"/>
      <c r="T62" s="6"/>
      <c r="U62" s="6"/>
      <c r="V62" s="6"/>
      <c r="W62" s="22"/>
      <c r="X62" s="6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7"/>
    </row>
    <row r="63" spans="1:40">
      <c r="A63" s="5"/>
      <c r="B63" s="33" t="s">
        <v>21</v>
      </c>
      <c r="C63" s="6"/>
      <c r="D63" s="6"/>
      <c r="E63" s="6"/>
      <c r="F63" s="6"/>
      <c r="G63" s="6"/>
      <c r="H63" s="6"/>
      <c r="I63" s="6"/>
      <c r="J63" s="6"/>
      <c r="K63" s="34"/>
      <c r="L63" s="6"/>
      <c r="M63" s="6"/>
      <c r="N63" s="6"/>
      <c r="O63" s="6"/>
      <c r="P63" s="7"/>
      <c r="Q63" s="5"/>
      <c r="R63" s="6"/>
      <c r="S63" s="6"/>
      <c r="T63" s="6"/>
      <c r="U63" s="6"/>
      <c r="V63" s="6"/>
      <c r="W63" s="22"/>
      <c r="X63" s="180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7"/>
    </row>
    <row r="64" spans="1:40">
      <c r="A64" s="5"/>
      <c r="B64" s="6"/>
      <c r="C64" s="6"/>
      <c r="D64" s="6"/>
      <c r="E64" s="6"/>
      <c r="F64" s="6"/>
      <c r="G64" s="6"/>
      <c r="H64" s="6"/>
      <c r="I64" s="6"/>
      <c r="J64" s="6"/>
      <c r="K64" s="34"/>
      <c r="L64" s="6"/>
      <c r="M64" s="6"/>
      <c r="N64" s="6"/>
      <c r="O64" s="6"/>
      <c r="P64" s="7"/>
      <c r="Q64" s="5"/>
      <c r="R64" s="6"/>
      <c r="S64" s="6"/>
      <c r="T64" s="6"/>
      <c r="U64" s="6"/>
      <c r="V64" s="6"/>
      <c r="W64" s="22"/>
      <c r="X64" s="6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7"/>
    </row>
    <row r="65" spans="1:40">
      <c r="A65" s="5"/>
      <c r="B65" s="33" t="s">
        <v>91</v>
      </c>
      <c r="C65" s="6"/>
      <c r="D65" s="6"/>
      <c r="E65" s="6"/>
      <c r="F65" s="6"/>
      <c r="G65" s="6"/>
      <c r="H65" s="6"/>
      <c r="I65" s="6"/>
      <c r="J65" s="6"/>
      <c r="K65" s="34"/>
      <c r="L65" s="6"/>
      <c r="M65" s="6"/>
      <c r="N65" s="6"/>
      <c r="O65" s="6"/>
      <c r="P65" s="7"/>
      <c r="Q65" s="5"/>
      <c r="R65" s="6"/>
      <c r="S65" s="6"/>
      <c r="T65" s="6"/>
      <c r="U65" s="6"/>
      <c r="V65" s="6"/>
      <c r="W65" s="22"/>
      <c r="X65" s="6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7"/>
    </row>
    <row r="66" spans="1:40">
      <c r="A66" s="5"/>
      <c r="B66" s="33" t="s">
        <v>125</v>
      </c>
      <c r="C66" s="6"/>
      <c r="D66" s="6"/>
      <c r="E66" s="6"/>
      <c r="F66" s="6"/>
      <c r="G66" s="6"/>
      <c r="H66" s="6"/>
      <c r="I66" s="6"/>
      <c r="J66" s="6"/>
      <c r="K66" s="34"/>
      <c r="L66" s="6"/>
      <c r="M66" s="6"/>
      <c r="N66" s="6"/>
      <c r="O66" s="6"/>
      <c r="P66" s="7"/>
      <c r="Q66" s="5"/>
      <c r="R66" s="6"/>
      <c r="S66" s="6"/>
      <c r="T66" s="6"/>
      <c r="U66" s="6"/>
      <c r="V66" s="6"/>
      <c r="W66" s="22"/>
      <c r="X66" s="6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7"/>
    </row>
    <row r="67" spans="1:40">
      <c r="A67" s="5"/>
      <c r="B67" s="6" t="s">
        <v>126</v>
      </c>
      <c r="C67" s="6"/>
      <c r="D67" s="6"/>
      <c r="E67" s="6"/>
      <c r="F67" s="6"/>
      <c r="G67" s="6"/>
      <c r="H67" s="6"/>
      <c r="I67" s="6"/>
      <c r="J67" s="6"/>
      <c r="K67" s="34"/>
      <c r="L67" s="6"/>
      <c r="M67" s="6"/>
      <c r="N67" s="6"/>
      <c r="O67" s="6"/>
      <c r="P67" s="7"/>
      <c r="Q67" s="5"/>
      <c r="R67" s="6"/>
      <c r="S67" s="6"/>
      <c r="T67" s="6"/>
      <c r="U67" s="6"/>
      <c r="V67" s="6"/>
      <c r="W67" s="22"/>
      <c r="X67" s="6"/>
      <c r="Y67" s="6"/>
      <c r="Z67" s="6"/>
      <c r="AA67" s="6"/>
      <c r="AB67" s="217" t="str">
        <f>+AB40</f>
        <v>23 kΩ</v>
      </c>
      <c r="AC67" s="217"/>
      <c r="AD67" s="6"/>
      <c r="AE67" s="6"/>
      <c r="AF67" s="217" t="str">
        <f>+AF40</f>
        <v>1 kΩ</v>
      </c>
      <c r="AG67" s="217"/>
      <c r="AH67" s="6"/>
      <c r="AI67" s="6"/>
      <c r="AJ67" s="6"/>
      <c r="AK67" s="6"/>
      <c r="AL67" s="6"/>
      <c r="AM67" s="6"/>
      <c r="AN67" s="7"/>
    </row>
    <row r="68" spans="1:40">
      <c r="A68" s="5"/>
      <c r="B68" s="33" t="s">
        <v>30</v>
      </c>
      <c r="C68" s="6"/>
      <c r="D68" s="6"/>
      <c r="E68" s="6"/>
      <c r="F68" s="6"/>
      <c r="G68" s="6"/>
      <c r="H68" s="6"/>
      <c r="I68" s="6"/>
      <c r="J68" s="6"/>
      <c r="K68" s="34"/>
      <c r="L68" s="6"/>
      <c r="M68" s="6"/>
      <c r="N68" s="6"/>
      <c r="O68" s="6"/>
      <c r="P68" s="7"/>
      <c r="Q68" s="5"/>
      <c r="R68" s="6"/>
      <c r="S68" s="6"/>
      <c r="T68" s="6"/>
      <c r="U68" s="6"/>
      <c r="V68" s="6"/>
      <c r="W68" s="22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7"/>
    </row>
    <row r="69" spans="1:40">
      <c r="A69" s="5"/>
      <c r="B69" s="33" t="s">
        <v>29</v>
      </c>
      <c r="C69" s="6"/>
      <c r="D69" s="6"/>
      <c r="E69" s="6"/>
      <c r="F69" s="6"/>
      <c r="G69" s="6"/>
      <c r="H69" s="6"/>
      <c r="I69" s="6"/>
      <c r="J69" s="6"/>
      <c r="K69" s="34"/>
      <c r="L69" s="6"/>
      <c r="M69" s="6"/>
      <c r="N69" s="6"/>
      <c r="O69" s="6"/>
      <c r="P69" s="7"/>
      <c r="Q69" s="5"/>
      <c r="R69" s="6"/>
      <c r="S69" s="6"/>
      <c r="T69" s="6"/>
      <c r="U69" s="6"/>
      <c r="V69" s="6"/>
      <c r="W69" s="22"/>
      <c r="X69" s="6"/>
      <c r="Y69" s="6"/>
      <c r="Z69" s="6"/>
      <c r="AA69" s="6"/>
      <c r="AB69" s="218" t="str">
        <f>+AB42</f>
        <v>2N2907A</v>
      </c>
      <c r="AC69" s="218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7"/>
    </row>
    <row r="70" spans="1:40">
      <c r="A70" s="5"/>
      <c r="B70" s="33" t="s">
        <v>37</v>
      </c>
      <c r="C70" s="6"/>
      <c r="D70" s="6"/>
      <c r="E70" s="6"/>
      <c r="F70" s="13">
        <f>+N72</f>
        <v>1</v>
      </c>
      <c r="G70" s="33" t="s">
        <v>38</v>
      </c>
      <c r="H70" s="6"/>
      <c r="I70" s="6"/>
      <c r="J70" s="6"/>
      <c r="K70" s="34"/>
      <c r="L70" s="6"/>
      <c r="M70" s="6"/>
      <c r="N70" s="6"/>
      <c r="O70" s="6"/>
      <c r="P70" s="7"/>
      <c r="Q70" s="5"/>
      <c r="R70" s="6"/>
      <c r="S70" s="6"/>
      <c r="T70" s="6"/>
      <c r="U70" s="6"/>
      <c r="V70" s="6"/>
      <c r="W70" s="22"/>
      <c r="X70" s="6"/>
      <c r="Y70" s="6"/>
      <c r="Z70" s="6"/>
      <c r="AA70" s="6"/>
      <c r="AB70" s="6"/>
      <c r="AC70" s="6"/>
      <c r="AD70" s="6"/>
      <c r="AE70" s="6"/>
      <c r="AF70" s="6"/>
      <c r="AG70" s="218" t="str">
        <f>+AG43</f>
        <v>0,16  uF</v>
      </c>
      <c r="AH70" s="218"/>
      <c r="AI70" s="6"/>
      <c r="AJ70" s="6"/>
      <c r="AK70" s="6"/>
      <c r="AL70" s="6"/>
      <c r="AM70" s="6"/>
      <c r="AN70" s="7"/>
    </row>
    <row r="71" spans="1:40" ht="16.5" thickBot="1">
      <c r="A71" s="5"/>
      <c r="B71" s="33"/>
      <c r="C71" s="6"/>
      <c r="D71" s="6"/>
      <c r="E71" s="6"/>
      <c r="F71" s="6"/>
      <c r="G71" s="6"/>
      <c r="H71" s="6"/>
      <c r="I71" s="6"/>
      <c r="J71" s="6"/>
      <c r="K71" s="34"/>
      <c r="L71" s="6"/>
      <c r="M71" s="6"/>
      <c r="N71" s="151" t="s">
        <v>32</v>
      </c>
      <c r="O71" s="6"/>
      <c r="P71" s="7"/>
      <c r="Q71" s="5"/>
      <c r="R71" s="6"/>
      <c r="S71" s="6"/>
      <c r="T71" s="6"/>
      <c r="U71" s="6"/>
      <c r="V71" s="6"/>
      <c r="W71" s="22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7"/>
    </row>
    <row r="72" spans="1:40" ht="15.75" thickBot="1">
      <c r="A72" s="5"/>
      <c r="B72" s="33" t="s">
        <v>33</v>
      </c>
      <c r="C72" s="6"/>
      <c r="D72" s="6"/>
      <c r="E72" s="33" t="s">
        <v>28</v>
      </c>
      <c r="F72" s="6"/>
      <c r="G72" s="6"/>
      <c r="H72" s="6" t="s">
        <v>53</v>
      </c>
      <c r="I72" s="6"/>
      <c r="J72" s="6"/>
      <c r="K72" s="34"/>
      <c r="L72" s="6"/>
      <c r="M72" s="155" t="s">
        <v>27</v>
      </c>
      <c r="N72" s="52">
        <v>1</v>
      </c>
      <c r="O72" s="6"/>
      <c r="P72" s="7"/>
      <c r="Q72" s="5"/>
      <c r="R72" s="6"/>
      <c r="S72" s="6"/>
      <c r="T72" s="6"/>
      <c r="U72" s="6"/>
      <c r="V72" s="6"/>
      <c r="W72" s="22"/>
      <c r="X72" s="6"/>
      <c r="Y72" s="218" t="str">
        <f>+Y45</f>
        <v>2,24  uF</v>
      </c>
      <c r="Z72" s="218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218" t="str">
        <f>+AL45</f>
        <v>-10 Volt</v>
      </c>
      <c r="AM72" s="218"/>
      <c r="AN72" s="7"/>
    </row>
    <row r="73" spans="1:40">
      <c r="A73" s="5"/>
      <c r="B73" s="210" t="s">
        <v>39</v>
      </c>
      <c r="C73" s="210"/>
      <c r="D73" s="210"/>
      <c r="E73" s="8"/>
      <c r="F73" s="58">
        <f>(G6*1000/N72-D28)</f>
        <v>801.29032258064512</v>
      </c>
      <c r="G73" s="65" t="s">
        <v>4</v>
      </c>
      <c r="H73" s="6"/>
      <c r="I73" s="60">
        <f>ROUND(F73,0)</f>
        <v>801</v>
      </c>
      <c r="J73" s="24" t="s">
        <v>34</v>
      </c>
      <c r="K73" s="56"/>
      <c r="L73" s="6"/>
      <c r="M73" s="6"/>
      <c r="N73" s="6"/>
      <c r="O73" s="6"/>
      <c r="P73" s="7"/>
      <c r="Q73" s="5"/>
      <c r="R73" s="6"/>
      <c r="S73" s="6"/>
      <c r="T73" s="6"/>
      <c r="U73" s="6"/>
      <c r="V73" s="6"/>
      <c r="W73" s="22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7"/>
    </row>
    <row r="74" spans="1:40">
      <c r="A74" s="5"/>
      <c r="B74" s="6"/>
      <c r="C74" s="6"/>
      <c r="D74" s="6"/>
      <c r="E74" s="6"/>
      <c r="F74" s="6"/>
      <c r="G74" s="6"/>
      <c r="H74" s="6"/>
      <c r="I74" s="6"/>
      <c r="J74" s="6"/>
      <c r="K74" s="34"/>
      <c r="L74" s="6"/>
      <c r="M74" s="6"/>
      <c r="N74" s="6"/>
      <c r="O74" s="6"/>
      <c r="P74" s="7"/>
      <c r="Q74" s="5"/>
      <c r="R74" s="6"/>
      <c r="S74" s="6"/>
      <c r="T74" s="6"/>
      <c r="U74" s="6"/>
      <c r="V74" s="6"/>
      <c r="W74" s="22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7"/>
    </row>
    <row r="75" spans="1:40">
      <c r="A75" s="5"/>
      <c r="B75" s="33" t="s">
        <v>22</v>
      </c>
      <c r="C75" s="6"/>
      <c r="D75" s="6"/>
      <c r="E75" s="13">
        <f>+N72</f>
        <v>1</v>
      </c>
      <c r="F75" s="35" t="s">
        <v>93</v>
      </c>
      <c r="G75" s="23">
        <f>+I28</f>
        <v>199</v>
      </c>
      <c r="H75" s="152" t="s">
        <v>92</v>
      </c>
      <c r="I75" s="23">
        <f>+I73</f>
        <v>801</v>
      </c>
      <c r="J75" s="33" t="s">
        <v>23</v>
      </c>
      <c r="K75" s="34"/>
      <c r="L75" s="6"/>
      <c r="M75" s="6"/>
      <c r="N75" s="6"/>
      <c r="O75" s="53">
        <f>+F36</f>
        <v>4.4109232624173575</v>
      </c>
      <c r="P75" s="7"/>
      <c r="Q75" s="5"/>
      <c r="R75" s="6"/>
      <c r="S75" s="6"/>
      <c r="T75" s="6"/>
      <c r="U75" s="6"/>
      <c r="V75" s="6"/>
      <c r="W75" s="22"/>
      <c r="X75" s="6"/>
      <c r="Y75" s="6"/>
      <c r="Z75" s="6"/>
      <c r="AA75" s="6"/>
      <c r="AB75" s="217" t="str">
        <f>+AB48</f>
        <v>5,2 kΩ</v>
      </c>
      <c r="AC75" s="217"/>
      <c r="AD75" s="6"/>
      <c r="AE75" s="6"/>
      <c r="AF75" s="248" t="str">
        <f>+AF48</f>
        <v>199 Ω</v>
      </c>
      <c r="AG75" s="248"/>
      <c r="AH75" s="6"/>
      <c r="AI75" s="6"/>
      <c r="AJ75" s="217" t="str">
        <f>+AJ48</f>
        <v>10 kΩ</v>
      </c>
      <c r="AK75" s="217"/>
      <c r="AL75" s="6"/>
      <c r="AM75" s="6"/>
      <c r="AN75" s="7"/>
    </row>
    <row r="76" spans="1:40">
      <c r="A76" s="5"/>
      <c r="B76" s="33" t="s">
        <v>66</v>
      </c>
      <c r="C76" s="6"/>
      <c r="D76" s="6"/>
      <c r="E76" s="6"/>
      <c r="F76" s="6"/>
      <c r="G76" s="6"/>
      <c r="H76" s="6"/>
      <c r="I76" s="6"/>
      <c r="J76" s="6"/>
      <c r="K76" s="34"/>
      <c r="L76" s="6"/>
      <c r="M76" s="6"/>
      <c r="N76" s="6"/>
      <c r="O76" s="6"/>
      <c r="P76" s="7"/>
      <c r="Q76" s="5"/>
      <c r="R76" s="6"/>
      <c r="S76" s="6"/>
      <c r="T76" s="6"/>
      <c r="U76" s="6"/>
      <c r="V76" s="6"/>
      <c r="W76" s="22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7"/>
    </row>
    <row r="77" spans="1:40">
      <c r="A77" s="5"/>
      <c r="B77" s="33" t="s">
        <v>67</v>
      </c>
      <c r="C77" s="6"/>
      <c r="D77" s="6"/>
      <c r="E77" s="6"/>
      <c r="F77" s="6"/>
      <c r="G77" s="6"/>
      <c r="H77" s="6"/>
      <c r="I77" s="6"/>
      <c r="J77" s="6"/>
      <c r="K77" s="34"/>
      <c r="L77" s="6"/>
      <c r="M77" s="6"/>
      <c r="N77" s="6"/>
      <c r="O77" s="6"/>
      <c r="P77" s="7"/>
      <c r="Q77" s="5"/>
      <c r="R77" s="6"/>
      <c r="S77" s="6"/>
      <c r="T77" s="6"/>
      <c r="U77" s="6"/>
      <c r="V77" s="6"/>
      <c r="W77" s="22"/>
      <c r="X77" s="6"/>
      <c r="Y77" s="6"/>
      <c r="Z77" s="6"/>
      <c r="AA77" s="6"/>
      <c r="AB77" s="216" t="str">
        <f>CONCATENATE(R14,S14)</f>
        <v>20 uF</v>
      </c>
      <c r="AC77" s="21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7"/>
    </row>
    <row r="78" spans="1:40">
      <c r="A78" s="5"/>
      <c r="B78" s="33"/>
      <c r="C78" s="6"/>
      <c r="D78" s="6"/>
      <c r="E78" s="6"/>
      <c r="F78" s="6"/>
      <c r="G78" s="6"/>
      <c r="H78" s="6"/>
      <c r="I78" s="6"/>
      <c r="J78" s="6"/>
      <c r="K78" s="34"/>
      <c r="L78" s="6"/>
      <c r="M78" s="6"/>
      <c r="N78" s="6"/>
      <c r="O78" s="6"/>
      <c r="P78" s="7"/>
      <c r="Q78" s="5"/>
      <c r="R78" s="6"/>
      <c r="S78" s="6"/>
      <c r="T78" s="6"/>
      <c r="U78" s="6"/>
      <c r="V78" s="6"/>
      <c r="W78" s="22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7"/>
    </row>
    <row r="79" spans="1:40">
      <c r="A79" s="5"/>
      <c r="B79" s="32" t="s">
        <v>40</v>
      </c>
      <c r="C79" s="6"/>
      <c r="D79" s="6"/>
      <c r="E79" s="6"/>
      <c r="F79" s="6"/>
      <c r="G79" s="6"/>
      <c r="H79" s="6"/>
      <c r="I79" s="6"/>
      <c r="J79" s="6"/>
      <c r="K79" s="34"/>
      <c r="L79" s="6"/>
      <c r="M79" s="6"/>
      <c r="N79" s="6"/>
      <c r="O79" s="6"/>
      <c r="P79" s="7"/>
      <c r="Q79" s="5"/>
      <c r="R79" s="6"/>
      <c r="S79" s="6"/>
      <c r="T79" s="6"/>
      <c r="U79" s="6"/>
      <c r="V79" s="6"/>
      <c r="W79" s="22"/>
      <c r="X79" s="6"/>
      <c r="Y79" s="6"/>
      <c r="Z79" s="6"/>
      <c r="AA79" s="6"/>
      <c r="AB79" s="6"/>
      <c r="AC79" s="6"/>
      <c r="AD79" s="6"/>
      <c r="AE79" s="6"/>
      <c r="AF79" s="217" t="str">
        <f>CONCATENATE(R10,S10)</f>
        <v>801 Ω</v>
      </c>
      <c r="AG79" s="217"/>
      <c r="AH79" s="6"/>
      <c r="AI79" s="6"/>
      <c r="AJ79" s="6"/>
      <c r="AK79" s="6"/>
      <c r="AL79" s="6"/>
      <c r="AM79" s="6"/>
      <c r="AN79" s="7"/>
    </row>
    <row r="80" spans="1:40">
      <c r="A80" s="5"/>
      <c r="B80" s="200" t="s">
        <v>114</v>
      </c>
      <c r="C80" s="200"/>
      <c r="D80" s="200"/>
      <c r="E80" s="6"/>
      <c r="F80" s="57">
        <f>F73/N44</f>
        <v>80.129032258064512</v>
      </c>
      <c r="G80" s="65" t="s">
        <v>4</v>
      </c>
      <c r="H80" s="6" t="s">
        <v>74</v>
      </c>
      <c r="I80" s="6"/>
      <c r="J80" s="6"/>
      <c r="K80" s="6"/>
      <c r="L80" s="6"/>
      <c r="M80" s="6"/>
      <c r="N80" s="6"/>
      <c r="O80" s="6"/>
      <c r="P80" s="7"/>
      <c r="Q80" s="5"/>
      <c r="R80" s="6"/>
      <c r="S80" s="6"/>
      <c r="T80" s="6"/>
      <c r="U80" s="6"/>
      <c r="V80" s="6"/>
      <c r="W80" s="22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7"/>
    </row>
    <row r="81" spans="1:40">
      <c r="A81" s="5"/>
      <c r="B81" s="200" t="s">
        <v>151</v>
      </c>
      <c r="C81" s="200"/>
      <c r="D81" s="200"/>
      <c r="E81" s="6"/>
      <c r="F81" s="58">
        <f>(1/(2*PI()*K6*F80))*10^6</f>
        <v>19.862331867346036</v>
      </c>
      <c r="G81" s="19" t="s">
        <v>14</v>
      </c>
      <c r="H81" s="30"/>
      <c r="I81" s="60">
        <f>ROUND(F81,0)</f>
        <v>20</v>
      </c>
      <c r="J81" s="68" t="s">
        <v>36</v>
      </c>
      <c r="K81" s="6"/>
      <c r="L81" s="6"/>
      <c r="M81" s="211"/>
      <c r="N81" s="211"/>
      <c r="O81" s="6"/>
      <c r="P81" s="7"/>
      <c r="Q81" s="5"/>
      <c r="R81" s="6"/>
      <c r="S81" s="6"/>
      <c r="T81" s="6"/>
      <c r="U81" s="6"/>
      <c r="V81" s="6"/>
      <c r="W81" s="22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7"/>
    </row>
    <row r="82" spans="1:40">
      <c r="A82" s="5"/>
      <c r="B82" s="200" t="s">
        <v>152</v>
      </c>
      <c r="C82" s="200"/>
      <c r="D82" s="200"/>
      <c r="E82" s="6"/>
      <c r="F82" s="57">
        <f>1/(2*PI()*K6*F81*10^-6)</f>
        <v>80.129032258064527</v>
      </c>
      <c r="G82" s="65" t="s">
        <v>4</v>
      </c>
      <c r="H82" s="152" t="s">
        <v>25</v>
      </c>
      <c r="I82" s="149" t="str">
        <f>+I49</f>
        <v>Ved Nedre Grænse frekvens i Hz 100</v>
      </c>
      <c r="J82" s="6"/>
      <c r="K82" s="6"/>
      <c r="L82" s="6"/>
      <c r="M82" s="6"/>
      <c r="N82" s="6"/>
      <c r="O82" s="6"/>
      <c r="P82" s="7"/>
      <c r="Q82" s="5"/>
      <c r="R82" s="6"/>
      <c r="S82" s="6"/>
      <c r="T82" s="6"/>
      <c r="U82" s="6"/>
      <c r="V82" s="6"/>
      <c r="W82" s="22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7"/>
    </row>
    <row r="83" spans="1:40">
      <c r="A83" s="5"/>
      <c r="B83" s="200" t="s">
        <v>153</v>
      </c>
      <c r="C83" s="200"/>
      <c r="D83" s="200"/>
      <c r="E83" s="6"/>
      <c r="F83" s="69">
        <f>1/(2*PI()*L6*F81*10^-6)</f>
        <v>0.26709677419354838</v>
      </c>
      <c r="G83" s="65" t="s">
        <v>4</v>
      </c>
      <c r="H83" s="152" t="s">
        <v>25</v>
      </c>
      <c r="I83" s="149" t="str">
        <f>+I50</f>
        <v>Ved Øvre Grænse frekvens i Hz 30000</v>
      </c>
      <c r="J83" s="6"/>
      <c r="K83" s="6"/>
      <c r="L83" s="6"/>
      <c r="M83" s="6"/>
      <c r="N83" s="6"/>
      <c r="O83" s="6"/>
      <c r="P83" s="7"/>
      <c r="Q83" s="5"/>
      <c r="R83" s="6"/>
      <c r="S83" s="6"/>
      <c r="T83" s="6"/>
      <c r="U83" s="6"/>
      <c r="V83" s="6"/>
      <c r="W83" s="22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7"/>
    </row>
    <row r="84" spans="1:40">
      <c r="A84" s="5"/>
      <c r="B84" s="149"/>
      <c r="C84" s="149"/>
      <c r="D84" s="149"/>
      <c r="E84" s="37"/>
      <c r="F84" s="25"/>
      <c r="G84" s="152"/>
      <c r="H84" s="6"/>
      <c r="I84" s="6"/>
      <c r="J84" s="6"/>
      <c r="K84" s="34"/>
      <c r="L84" s="36"/>
      <c r="M84" s="6"/>
      <c r="N84" s="6"/>
      <c r="O84" s="6"/>
      <c r="P84" s="7"/>
      <c r="Q84" s="5"/>
      <c r="R84" s="6"/>
      <c r="S84" s="6"/>
      <c r="T84" s="6"/>
      <c r="U84" s="6"/>
      <c r="V84" s="6"/>
      <c r="W84" s="22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7"/>
    </row>
    <row r="85" spans="1:40" ht="15.75">
      <c r="A85" s="5"/>
      <c r="B85" s="54" t="s">
        <v>77</v>
      </c>
      <c r="C85" s="149"/>
      <c r="D85" s="149"/>
      <c r="E85" s="37"/>
      <c r="F85" s="25"/>
      <c r="G85" s="152"/>
      <c r="H85" s="6"/>
      <c r="I85" s="6"/>
      <c r="J85" s="6"/>
      <c r="K85" s="34"/>
      <c r="L85" s="6"/>
      <c r="M85" s="6"/>
      <c r="N85" s="6"/>
      <c r="O85" s="6"/>
      <c r="P85" s="7"/>
      <c r="Q85" s="5"/>
      <c r="R85" s="6"/>
      <c r="S85" s="6"/>
      <c r="T85" s="6"/>
      <c r="U85" s="6"/>
      <c r="V85" s="6"/>
      <c r="W85" s="22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7"/>
    </row>
    <row r="86" spans="1:40">
      <c r="A86" s="5"/>
      <c r="B86" s="6" t="s">
        <v>129</v>
      </c>
      <c r="C86" s="6"/>
      <c r="D86" s="6"/>
      <c r="E86" s="6"/>
      <c r="F86" s="6"/>
      <c r="G86" s="6"/>
      <c r="H86" s="6"/>
      <c r="I86" s="6"/>
      <c r="J86" s="6" t="str">
        <f>CONCATENATE("Her ",K6," Hz")</f>
        <v>Her 100 Hz</v>
      </c>
      <c r="K86" s="34"/>
      <c r="L86" s="6"/>
      <c r="M86" s="6"/>
      <c r="N86" s="6"/>
      <c r="O86" s="6"/>
      <c r="P86" s="7"/>
      <c r="Q86" s="5"/>
      <c r="R86" s="6"/>
      <c r="S86" s="6"/>
      <c r="T86" s="6"/>
      <c r="U86" s="6"/>
      <c r="V86" s="6"/>
      <c r="W86" s="22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7"/>
    </row>
    <row r="87" spans="1:40">
      <c r="A87" s="5"/>
      <c r="B87" s="38" t="s">
        <v>89</v>
      </c>
      <c r="C87" s="6"/>
      <c r="D87" s="6"/>
      <c r="E87" s="6"/>
      <c r="F87" s="6"/>
      <c r="G87" s="6"/>
      <c r="H87" s="6"/>
      <c r="I87" s="6"/>
      <c r="J87" s="6"/>
      <c r="K87" s="34"/>
      <c r="L87" s="6"/>
      <c r="M87" s="22"/>
      <c r="N87" s="6"/>
      <c r="O87" s="6"/>
      <c r="P87" s="7"/>
      <c r="Q87" s="5"/>
      <c r="R87" s="6"/>
      <c r="S87" s="6"/>
      <c r="T87" s="6"/>
      <c r="U87" s="6"/>
      <c r="V87" s="6"/>
      <c r="W87" s="22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7"/>
    </row>
    <row r="88" spans="1:40">
      <c r="A88" s="5"/>
      <c r="B88" s="38"/>
      <c r="C88" s="6"/>
      <c r="D88" s="6"/>
      <c r="E88" s="6"/>
      <c r="F88" s="6"/>
      <c r="G88" s="6"/>
      <c r="H88" s="6"/>
      <c r="I88" s="6"/>
      <c r="J88" s="6"/>
      <c r="K88" s="34"/>
      <c r="L88" s="6"/>
      <c r="M88" s="6"/>
      <c r="N88" s="6"/>
      <c r="O88" s="6"/>
      <c r="P88" s="76"/>
      <c r="Q88" s="5"/>
      <c r="R88" s="6"/>
      <c r="S88" s="6"/>
      <c r="T88" s="6"/>
      <c r="U88" s="6"/>
      <c r="V88" s="6"/>
      <c r="W88" s="22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7"/>
    </row>
    <row r="89" spans="1:40">
      <c r="A89" s="5"/>
      <c r="B89" s="39" t="s">
        <v>90</v>
      </c>
      <c r="C89" s="6"/>
      <c r="D89" s="6"/>
      <c r="E89" s="6"/>
      <c r="F89" s="62">
        <f>1/((1/D27)+(1/D24)+(1/F90))</f>
        <v>710.47523741148643</v>
      </c>
      <c r="G89" s="65" t="s">
        <v>4</v>
      </c>
      <c r="H89" s="6"/>
      <c r="I89" s="60">
        <f>ROUND(F89,0)</f>
        <v>710</v>
      </c>
      <c r="J89" s="24" t="s">
        <v>34</v>
      </c>
      <c r="K89" s="6"/>
      <c r="L89" s="6"/>
      <c r="M89" s="6"/>
      <c r="N89" s="6"/>
      <c r="O89" s="6"/>
      <c r="P89" s="7"/>
      <c r="Q89" s="5"/>
      <c r="R89" s="6"/>
      <c r="S89" s="6"/>
      <c r="T89" s="6"/>
      <c r="U89" s="6"/>
      <c r="V89" s="6"/>
      <c r="W89" s="22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7"/>
    </row>
    <row r="90" spans="1:40">
      <c r="A90" s="5"/>
      <c r="B90" s="38" t="s">
        <v>141</v>
      </c>
      <c r="C90" s="39"/>
      <c r="D90" s="6"/>
      <c r="E90" s="6"/>
      <c r="F90" s="63">
        <f>F91*C6</f>
        <v>852.15615218402831</v>
      </c>
      <c r="G90" s="65" t="s">
        <v>4</v>
      </c>
      <c r="H90" s="55"/>
      <c r="I90" s="60">
        <f>ROUND(F90,0)</f>
        <v>852</v>
      </c>
      <c r="J90" s="24" t="s">
        <v>34</v>
      </c>
      <c r="K90" s="6"/>
      <c r="L90" s="6"/>
      <c r="M90" s="6"/>
      <c r="N90" s="6"/>
      <c r="O90" s="6"/>
      <c r="P90" s="7"/>
      <c r="Q90" s="5"/>
      <c r="R90" s="6"/>
      <c r="S90" s="6"/>
      <c r="T90" s="6"/>
      <c r="U90" s="6"/>
      <c r="V90" s="6"/>
      <c r="W90" s="22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7"/>
    </row>
    <row r="91" spans="1:40">
      <c r="A91" s="5"/>
      <c r="B91" s="38" t="s">
        <v>138</v>
      </c>
      <c r="C91" s="39" t="str">
        <f>+E33</f>
        <v>Vt/IE =</v>
      </c>
      <c r="D91" s="55" t="str">
        <f>CONCATENATE("( IE ",J12,G12," )")</f>
        <v>( IE  mA )</v>
      </c>
      <c r="E91" s="6"/>
      <c r="F91" s="64">
        <f>+L33/F12</f>
        <v>5.5334815076884958</v>
      </c>
      <c r="G91" s="65" t="s">
        <v>4</v>
      </c>
      <c r="H91" s="55"/>
      <c r="I91" s="61">
        <f>ROUND(F91,2)</f>
        <v>5.53</v>
      </c>
      <c r="J91" s="24" t="s">
        <v>34</v>
      </c>
      <c r="K91" s="6"/>
      <c r="L91" s="41"/>
      <c r="M91" s="6"/>
      <c r="N91" s="211"/>
      <c r="O91" s="211"/>
      <c r="P91" s="7"/>
      <c r="Q91" s="5"/>
      <c r="R91" s="6"/>
      <c r="S91" s="6"/>
      <c r="T91" s="6"/>
      <c r="U91" s="6"/>
      <c r="V91" s="6"/>
      <c r="W91" s="22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7"/>
    </row>
    <row r="92" spans="1:40">
      <c r="A92" s="5"/>
      <c r="B92" s="11" t="s">
        <v>130</v>
      </c>
      <c r="C92" s="11"/>
      <c r="D92" s="11"/>
      <c r="E92" s="6"/>
      <c r="F92" s="63">
        <f>+F89</f>
        <v>710.47523741148643</v>
      </c>
      <c r="G92" s="65" t="s">
        <v>4</v>
      </c>
      <c r="H92" s="6"/>
      <c r="I92" s="60">
        <f>ROUND(F92,0)</f>
        <v>710</v>
      </c>
      <c r="J92" s="24" t="s">
        <v>34</v>
      </c>
      <c r="K92" s="6"/>
      <c r="L92" s="6"/>
      <c r="M92" s="6"/>
      <c r="N92" s="6"/>
      <c r="O92" s="6"/>
      <c r="P92" s="7"/>
      <c r="Q92" s="5"/>
      <c r="R92" s="6"/>
      <c r="S92" s="6"/>
      <c r="T92" s="6"/>
      <c r="U92" s="6"/>
      <c r="V92" s="6"/>
      <c r="W92" s="22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7"/>
    </row>
    <row r="93" spans="1:40">
      <c r="A93" s="5"/>
      <c r="B93" s="200" t="s">
        <v>150</v>
      </c>
      <c r="C93" s="200"/>
      <c r="D93" s="200"/>
      <c r="E93" s="6"/>
      <c r="F93" s="64">
        <f>(1/(2*PI()*K6*F92))*10^6</f>
        <v>2.2401194962368187</v>
      </c>
      <c r="G93" s="19" t="s">
        <v>14</v>
      </c>
      <c r="H93" s="59"/>
      <c r="I93" s="61">
        <f>ROUND(F93,2)</f>
        <v>2.2400000000000002</v>
      </c>
      <c r="J93" s="14" t="s">
        <v>44</v>
      </c>
      <c r="K93" s="6"/>
      <c r="L93" s="6"/>
      <c r="M93" s="6"/>
      <c r="N93" s="6"/>
      <c r="O93" s="6"/>
      <c r="P93" s="7"/>
      <c r="Q93" s="5"/>
      <c r="R93" s="6"/>
      <c r="S93" s="6"/>
      <c r="T93" s="6"/>
      <c r="U93" s="6"/>
      <c r="V93" s="6"/>
      <c r="W93" s="22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7"/>
    </row>
    <row r="94" spans="1:40">
      <c r="A94" s="5"/>
      <c r="B94" s="38"/>
      <c r="C94" s="39"/>
      <c r="D94" s="6"/>
      <c r="E94" s="40"/>
      <c r="F94" s="25"/>
      <c r="G94" s="55"/>
      <c r="H94" s="13"/>
      <c r="I94" s="20"/>
      <c r="J94" s="24"/>
      <c r="K94" s="56"/>
      <c r="L94" s="6"/>
      <c r="M94" s="6"/>
      <c r="N94" s="6"/>
      <c r="O94" s="6"/>
      <c r="P94" s="7"/>
      <c r="Q94" s="5"/>
      <c r="R94" s="6"/>
      <c r="S94" s="6"/>
      <c r="T94" s="6"/>
      <c r="U94" s="6"/>
      <c r="V94" s="6"/>
      <c r="W94" s="22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7"/>
    </row>
    <row r="95" spans="1:40" ht="15.75">
      <c r="A95" s="5"/>
      <c r="B95" s="54" t="s">
        <v>78</v>
      </c>
      <c r="C95" s="6"/>
      <c r="D95" s="6"/>
      <c r="E95" s="6"/>
      <c r="F95" s="6"/>
      <c r="G95" s="6"/>
      <c r="H95" s="6"/>
      <c r="I95" s="6"/>
      <c r="J95" s="6"/>
      <c r="K95" s="34"/>
      <c r="L95" s="6"/>
      <c r="M95" s="6"/>
      <c r="N95" s="6"/>
      <c r="O95" s="42"/>
      <c r="P95" s="7"/>
      <c r="Q95" s="5"/>
      <c r="R95" s="6"/>
      <c r="S95" s="6"/>
      <c r="T95" s="6"/>
      <c r="U95" s="6"/>
      <c r="V95" s="6"/>
      <c r="W95" s="22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7"/>
    </row>
    <row r="96" spans="1:40" ht="15.75">
      <c r="A96" s="5"/>
      <c r="B96" s="6" t="s">
        <v>170</v>
      </c>
      <c r="C96" s="6"/>
      <c r="D96" s="6"/>
      <c r="E96" s="6"/>
      <c r="F96" s="6"/>
      <c r="G96" s="6"/>
      <c r="H96" s="6"/>
      <c r="I96" s="40"/>
      <c r="J96" s="6"/>
      <c r="K96" s="34"/>
      <c r="L96" s="6"/>
      <c r="M96" s="6"/>
      <c r="N96" s="6"/>
      <c r="O96" s="42"/>
      <c r="P96" s="7"/>
      <c r="Q96" s="5"/>
      <c r="R96" s="6"/>
      <c r="S96" s="6"/>
      <c r="T96" s="6"/>
      <c r="U96" s="6"/>
      <c r="V96" s="6"/>
      <c r="W96" s="22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7"/>
    </row>
    <row r="97" spans="1:40" ht="15.75">
      <c r="A97" s="5"/>
      <c r="B97" s="200" t="s">
        <v>85</v>
      </c>
      <c r="C97" s="200"/>
      <c r="D97" s="200"/>
      <c r="E97" s="200"/>
      <c r="F97" s="64">
        <f>G6*F98/(G6+F98)</f>
        <v>0.99009900990099009</v>
      </c>
      <c r="G97" s="65" t="s">
        <v>81</v>
      </c>
      <c r="H97" s="6"/>
      <c r="I97" s="61">
        <f>ROUND(F97,2)</f>
        <v>0.99</v>
      </c>
      <c r="J97" s="67" t="s">
        <v>41</v>
      </c>
      <c r="K97" s="56"/>
      <c r="L97" s="6"/>
      <c r="M97" s="6"/>
      <c r="N97" s="6"/>
      <c r="O97" s="42"/>
      <c r="P97" s="7"/>
      <c r="Q97" s="5"/>
      <c r="R97" s="6"/>
      <c r="S97" s="6"/>
      <c r="T97" s="6"/>
      <c r="U97" s="6"/>
      <c r="V97" s="6"/>
      <c r="W97" s="22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7"/>
    </row>
    <row r="98" spans="1:40" ht="15.75">
      <c r="A98" s="5"/>
      <c r="B98" s="6" t="s">
        <v>79</v>
      </c>
      <c r="C98" s="6">
        <v>10</v>
      </c>
      <c r="D98" s="6" t="s">
        <v>140</v>
      </c>
      <c r="E98" s="6" t="s">
        <v>80</v>
      </c>
      <c r="F98" s="63">
        <f>(1/C98)*10^3</f>
        <v>100</v>
      </c>
      <c r="G98" s="65" t="s">
        <v>81</v>
      </c>
      <c r="H98" s="6"/>
      <c r="I98" s="22"/>
      <c r="J98" s="11"/>
      <c r="K98" s="34"/>
      <c r="L98" s="6"/>
      <c r="M98" s="6"/>
      <c r="N98" s="6"/>
      <c r="O98" s="42"/>
      <c r="P98" s="7"/>
      <c r="Q98" s="5"/>
      <c r="R98" s="6"/>
      <c r="S98" s="6"/>
      <c r="T98" s="6"/>
      <c r="U98" s="6"/>
      <c r="V98" s="6"/>
      <c r="W98" s="22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7"/>
    </row>
    <row r="99" spans="1:40" ht="15.75">
      <c r="A99" s="5"/>
      <c r="B99" s="6" t="s">
        <v>86</v>
      </c>
      <c r="C99" s="6"/>
      <c r="D99" s="6"/>
      <c r="E99" s="6"/>
      <c r="F99" s="63">
        <f>+J6</f>
        <v>10</v>
      </c>
      <c r="G99" s="65" t="s">
        <v>81</v>
      </c>
      <c r="H99" s="6"/>
      <c r="I99" s="60">
        <f>(ROUND(F99,0))*1000</f>
        <v>10000</v>
      </c>
      <c r="J99" s="67" t="s">
        <v>34</v>
      </c>
      <c r="K99" s="56"/>
      <c r="L99" s="6"/>
      <c r="M99" s="101"/>
      <c r="N99" s="6"/>
      <c r="O99" s="42"/>
      <c r="P99" s="7"/>
      <c r="Q99" s="5"/>
      <c r="R99" s="6"/>
      <c r="S99" s="6"/>
      <c r="T99" s="6"/>
      <c r="U99" s="6"/>
      <c r="V99" s="6"/>
      <c r="W99" s="22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7"/>
    </row>
    <row r="100" spans="1:40">
      <c r="A100" s="5"/>
      <c r="B100" s="200" t="s">
        <v>154</v>
      </c>
      <c r="C100" s="200"/>
      <c r="D100" s="200"/>
      <c r="E100" s="6"/>
      <c r="F100" s="66">
        <f>(1/(2*PI()*K6*I99))*10^6</f>
        <v>0.15915494309189532</v>
      </c>
      <c r="G100" s="19" t="s">
        <v>14</v>
      </c>
      <c r="H100" s="13"/>
      <c r="I100" s="61">
        <f>ROUND(F100,2)</f>
        <v>0.16</v>
      </c>
      <c r="J100" s="68" t="s">
        <v>44</v>
      </c>
      <c r="K100" s="56"/>
      <c r="L100" s="6"/>
      <c r="M100" s="6"/>
      <c r="N100" s="6"/>
      <c r="O100" s="6"/>
      <c r="P100" s="7"/>
      <c r="Q100" s="5"/>
      <c r="R100" s="6"/>
      <c r="S100" s="6"/>
      <c r="T100" s="6"/>
      <c r="U100" s="6"/>
      <c r="V100" s="6"/>
      <c r="W100" s="22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7"/>
    </row>
    <row r="101" spans="1:40" ht="15.75">
      <c r="A101" s="5"/>
      <c r="B101" s="209" t="s">
        <v>171</v>
      </c>
      <c r="C101" s="20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6"/>
      <c r="O101" s="6"/>
      <c r="P101" s="7"/>
      <c r="Q101" s="5"/>
      <c r="R101" s="6"/>
      <c r="S101" s="6"/>
      <c r="T101" s="6"/>
      <c r="U101" s="6"/>
      <c r="V101" s="6"/>
      <c r="W101" s="22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7"/>
    </row>
    <row r="102" spans="1:40" ht="15.75">
      <c r="A102" s="5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6"/>
      <c r="O102" s="6"/>
      <c r="P102" s="7"/>
      <c r="Q102" s="5"/>
      <c r="R102" s="6"/>
      <c r="S102" s="6"/>
      <c r="T102" s="6"/>
      <c r="U102" s="6"/>
      <c r="V102" s="6"/>
      <c r="W102" s="22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7"/>
    </row>
    <row r="103" spans="1:40">
      <c r="A103" s="5"/>
      <c r="B103" s="6" t="s">
        <v>172</v>
      </c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7"/>
      <c r="Q103" s="5"/>
      <c r="R103" s="6"/>
      <c r="S103" s="6"/>
      <c r="T103" s="6"/>
      <c r="U103" s="6"/>
      <c r="V103" s="6"/>
      <c r="W103" s="22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7"/>
    </row>
    <row r="104" spans="1:40">
      <c r="A104" s="5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7"/>
      <c r="Q104" s="5"/>
      <c r="R104" s="6"/>
      <c r="S104" s="6"/>
      <c r="T104" s="6"/>
      <c r="U104" s="6"/>
      <c r="V104" s="6"/>
      <c r="W104" s="22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7"/>
    </row>
    <row r="105" spans="1:40" ht="15.75" thickBot="1">
      <c r="A105" s="44"/>
      <c r="B105" s="91" t="s">
        <v>51</v>
      </c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229" t="s">
        <v>52</v>
      </c>
      <c r="O105" s="229"/>
      <c r="P105" s="230"/>
      <c r="Q105" s="44"/>
      <c r="R105" s="45"/>
      <c r="S105" s="45"/>
      <c r="T105" s="45"/>
      <c r="U105" s="45"/>
      <c r="V105" s="45"/>
      <c r="W105" s="196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86"/>
    </row>
    <row r="106" spans="1:40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85"/>
      <c r="U106" s="81"/>
      <c r="V106" s="81"/>
      <c r="W106" s="178"/>
      <c r="X106" s="81"/>
      <c r="Y106" s="81"/>
      <c r="Z106" s="81"/>
      <c r="AA106" s="81"/>
      <c r="AB106" s="81"/>
      <c r="AC106" s="81"/>
      <c r="AD106" s="122"/>
      <c r="AE106" s="122"/>
      <c r="AF106" s="72"/>
    </row>
    <row r="107" spans="1:40" ht="15.75">
      <c r="A107" s="5"/>
      <c r="B107" s="198" t="s">
        <v>117</v>
      </c>
      <c r="C107" s="198"/>
      <c r="D107" s="198"/>
      <c r="E107" s="198"/>
      <c r="F107" s="198"/>
      <c r="G107" s="198"/>
      <c r="H107" s="198"/>
      <c r="I107" s="198"/>
      <c r="J107" s="198"/>
      <c r="K107" s="198"/>
      <c r="L107" s="198"/>
      <c r="M107" s="198"/>
      <c r="N107" s="198"/>
      <c r="O107" s="198"/>
      <c r="P107" s="199"/>
      <c r="AD107" s="72"/>
      <c r="AE107" s="72"/>
      <c r="AF107" s="72"/>
    </row>
    <row r="108" spans="1:40">
      <c r="A108" s="5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7"/>
      <c r="AD108" s="72"/>
      <c r="AE108" s="72"/>
      <c r="AF108" s="72"/>
    </row>
    <row r="109" spans="1:40">
      <c r="A109" s="5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7"/>
      <c r="AD109" s="72"/>
      <c r="AE109" s="72"/>
      <c r="AF109" s="72"/>
    </row>
    <row r="110" spans="1:40">
      <c r="A110" s="5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7"/>
      <c r="AD110" s="72"/>
      <c r="AE110" s="72"/>
      <c r="AF110" s="72"/>
    </row>
    <row r="111" spans="1:40">
      <c r="A111" s="5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7"/>
      <c r="AD111" s="72"/>
      <c r="AE111" s="72"/>
      <c r="AF111" s="72"/>
    </row>
    <row r="112" spans="1:40">
      <c r="A112" s="5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7"/>
      <c r="AD112" s="72"/>
      <c r="AE112" s="72"/>
      <c r="AF112" s="72"/>
    </row>
    <row r="113" spans="1:32">
      <c r="A113" s="5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7"/>
      <c r="AD113" s="72"/>
      <c r="AE113" s="72"/>
      <c r="AF113" s="72"/>
    </row>
    <row r="114" spans="1:32">
      <c r="A114" s="5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7"/>
      <c r="AD114" s="72"/>
      <c r="AE114" s="72"/>
      <c r="AF114" s="72"/>
    </row>
    <row r="115" spans="1:32">
      <c r="A115" s="5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7"/>
      <c r="AD115" s="72"/>
      <c r="AE115" s="72"/>
      <c r="AF115" s="72"/>
    </row>
    <row r="116" spans="1:32">
      <c r="A116" s="5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7"/>
      <c r="AD116" s="72"/>
      <c r="AE116" s="72"/>
      <c r="AF116" s="72"/>
    </row>
    <row r="117" spans="1:32">
      <c r="A117" s="5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7"/>
      <c r="AD117" s="72"/>
      <c r="AE117" s="72"/>
      <c r="AF117" s="72"/>
    </row>
    <row r="118" spans="1:32">
      <c r="A118" s="5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7"/>
      <c r="AD118" s="72"/>
      <c r="AE118" s="72"/>
      <c r="AF118" s="72"/>
    </row>
    <row r="119" spans="1:32">
      <c r="A119" s="5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7"/>
      <c r="AD119" s="72"/>
      <c r="AE119" s="72"/>
      <c r="AF119" s="72"/>
    </row>
    <row r="120" spans="1:32">
      <c r="A120" s="5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7"/>
      <c r="AD120" s="72"/>
      <c r="AE120" s="72"/>
      <c r="AF120" s="72"/>
    </row>
    <row r="121" spans="1:32">
      <c r="A121" s="5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7"/>
      <c r="AD121" s="72"/>
      <c r="AE121" s="72"/>
      <c r="AF121" s="72"/>
    </row>
    <row r="122" spans="1:32">
      <c r="A122" s="5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7"/>
      <c r="AD122" s="72"/>
      <c r="AE122" s="72"/>
      <c r="AF122" s="72"/>
    </row>
    <row r="123" spans="1:32">
      <c r="A123" s="5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7"/>
      <c r="AD123" s="72"/>
      <c r="AE123" s="72"/>
      <c r="AF123" s="72"/>
    </row>
    <row r="124" spans="1:32">
      <c r="A124" s="5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7"/>
      <c r="AD124" s="72"/>
      <c r="AE124" s="72"/>
      <c r="AF124" s="72"/>
    </row>
    <row r="125" spans="1:32">
      <c r="A125" s="5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7"/>
      <c r="AD125" s="72"/>
      <c r="AE125" s="72"/>
      <c r="AF125" s="72"/>
    </row>
    <row r="126" spans="1:32">
      <c r="A126" s="5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7"/>
      <c r="AD126" s="72"/>
      <c r="AE126" s="72"/>
      <c r="AF126" s="72"/>
    </row>
    <row r="127" spans="1:32">
      <c r="A127" s="5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7"/>
      <c r="AD127" s="72"/>
      <c r="AE127" s="72"/>
      <c r="AF127" s="72"/>
    </row>
    <row r="128" spans="1:32">
      <c r="A128" s="5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7"/>
      <c r="AD128" s="72"/>
      <c r="AE128" s="72"/>
      <c r="AF128" s="72"/>
    </row>
    <row r="129" spans="1:32">
      <c r="A129" s="5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7"/>
      <c r="AD129" s="72"/>
      <c r="AE129" s="72"/>
      <c r="AF129" s="72"/>
    </row>
    <row r="130" spans="1:32">
      <c r="A130" s="5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7"/>
      <c r="AD130" s="72"/>
      <c r="AE130" s="72"/>
      <c r="AF130" s="72"/>
    </row>
    <row r="131" spans="1:32" ht="15.75">
      <c r="A131" s="5"/>
      <c r="B131" s="198" t="s">
        <v>68</v>
      </c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9"/>
      <c r="AD131" s="72"/>
      <c r="AE131" s="72"/>
      <c r="AF131" s="72"/>
    </row>
    <row r="132" spans="1:32">
      <c r="A132" s="5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7"/>
      <c r="AD132" s="72"/>
      <c r="AE132" s="72"/>
      <c r="AF132" s="72"/>
    </row>
    <row r="133" spans="1:32">
      <c r="A133" s="5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7"/>
      <c r="AD133" s="72"/>
      <c r="AE133" s="72"/>
      <c r="AF133" s="72"/>
    </row>
    <row r="134" spans="1:32">
      <c r="A134" s="5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7"/>
      <c r="AD134" s="72"/>
      <c r="AE134" s="72"/>
      <c r="AF134" s="72"/>
    </row>
    <row r="135" spans="1:32">
      <c r="A135" s="5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7"/>
      <c r="AD135" s="72"/>
      <c r="AE135" s="72"/>
      <c r="AF135" s="72"/>
    </row>
    <row r="136" spans="1:32">
      <c r="A136" s="5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7"/>
      <c r="AD136" s="72"/>
      <c r="AE136" s="72"/>
      <c r="AF136" s="72"/>
    </row>
    <row r="137" spans="1:32">
      <c r="A137" s="5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7"/>
      <c r="AD137" s="72"/>
      <c r="AE137" s="72"/>
      <c r="AF137" s="72"/>
    </row>
    <row r="138" spans="1:32">
      <c r="A138" s="5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7"/>
      <c r="AD138" s="72"/>
      <c r="AE138" s="72"/>
      <c r="AF138" s="72"/>
    </row>
    <row r="139" spans="1:32">
      <c r="A139" s="5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7"/>
      <c r="AD139" s="72"/>
      <c r="AE139" s="72"/>
      <c r="AF139" s="72"/>
    </row>
    <row r="140" spans="1:32">
      <c r="A140" s="5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7"/>
      <c r="AD140" s="72"/>
      <c r="AE140" s="72"/>
      <c r="AF140" s="72"/>
    </row>
    <row r="141" spans="1:32">
      <c r="A141" s="5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7"/>
      <c r="AD141" s="72"/>
      <c r="AE141" s="72"/>
      <c r="AF141" s="72"/>
    </row>
    <row r="142" spans="1:32">
      <c r="A142" s="5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7"/>
      <c r="AD142" s="72"/>
      <c r="AE142" s="72"/>
      <c r="AF142" s="72"/>
    </row>
    <row r="143" spans="1:32">
      <c r="A143" s="5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7"/>
    </row>
    <row r="144" spans="1:32">
      <c r="A144" s="5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7"/>
    </row>
    <row r="145" spans="1:16">
      <c r="A145" s="5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7"/>
    </row>
    <row r="146" spans="1:16">
      <c r="A146" s="5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7"/>
    </row>
    <row r="147" spans="1:16">
      <c r="A147" s="5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7"/>
    </row>
    <row r="148" spans="1:16">
      <c r="A148" s="5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7"/>
    </row>
    <row r="149" spans="1:16">
      <c r="A149" s="5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7"/>
    </row>
    <row r="150" spans="1:16">
      <c r="A150" s="5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7"/>
    </row>
    <row r="151" spans="1:16">
      <c r="A151" s="5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7"/>
    </row>
    <row r="152" spans="1:16" ht="15.75">
      <c r="A152" s="5"/>
      <c r="B152" s="80" t="s">
        <v>57</v>
      </c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7"/>
    </row>
    <row r="153" spans="1:16">
      <c r="A153" s="5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7"/>
    </row>
    <row r="154" spans="1:16" ht="15.75">
      <c r="A154" s="5"/>
      <c r="B154" s="198" t="s">
        <v>204</v>
      </c>
      <c r="C154" s="198"/>
      <c r="D154" s="198"/>
      <c r="E154" s="198"/>
      <c r="F154" s="198"/>
      <c r="G154" s="198"/>
      <c r="H154" s="198"/>
      <c r="I154" s="198"/>
      <c r="J154" s="198"/>
      <c r="K154" s="198"/>
      <c r="L154" s="198"/>
      <c r="M154" s="198"/>
      <c r="N154" s="198"/>
      <c r="O154" s="198"/>
      <c r="P154" s="199"/>
    </row>
    <row r="155" spans="1:16">
      <c r="A155" s="5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7"/>
    </row>
    <row r="156" spans="1:16">
      <c r="A156" s="5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7"/>
    </row>
    <row r="157" spans="1:16">
      <c r="A157" s="5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7"/>
    </row>
    <row r="158" spans="1:16">
      <c r="A158" s="5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7"/>
    </row>
    <row r="159" spans="1:16">
      <c r="A159" s="5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7"/>
    </row>
    <row r="160" spans="1:16">
      <c r="A160" s="5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7"/>
    </row>
    <row r="161" spans="1:16">
      <c r="A161" s="5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7"/>
    </row>
    <row r="162" spans="1:16">
      <c r="A162" s="5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7"/>
    </row>
    <row r="163" spans="1:16">
      <c r="A163" s="5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7"/>
    </row>
    <row r="164" spans="1:16">
      <c r="A164" s="5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7"/>
    </row>
    <row r="165" spans="1:16">
      <c r="A165" s="5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7"/>
    </row>
    <row r="166" spans="1:16">
      <c r="A166" s="5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7"/>
    </row>
    <row r="167" spans="1:16">
      <c r="A167" s="5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7"/>
    </row>
    <row r="168" spans="1:16">
      <c r="A168" s="5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7"/>
    </row>
    <row r="169" spans="1:16">
      <c r="A169" s="5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7"/>
    </row>
    <row r="170" spans="1:16">
      <c r="A170" s="5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7"/>
    </row>
    <row r="171" spans="1:16">
      <c r="A171" s="5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7"/>
    </row>
    <row r="172" spans="1:16">
      <c r="A172" s="5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7"/>
    </row>
    <row r="173" spans="1:16">
      <c r="A173" s="5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7"/>
    </row>
    <row r="174" spans="1:16">
      <c r="A174" s="5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7"/>
    </row>
    <row r="175" spans="1:16" ht="15.75">
      <c r="A175" s="5"/>
      <c r="B175" s="89" t="s">
        <v>58</v>
      </c>
      <c r="C175" s="6"/>
      <c r="D175" s="92" t="s">
        <v>61</v>
      </c>
      <c r="E175" s="93">
        <v>1</v>
      </c>
      <c r="F175" s="92" t="s">
        <v>62</v>
      </c>
      <c r="G175" s="93">
        <v>-1</v>
      </c>
      <c r="H175" s="94">
        <f>E175-G175</f>
        <v>2</v>
      </c>
      <c r="I175" s="89" t="s">
        <v>60</v>
      </c>
      <c r="J175" s="95">
        <f>H175/(2*SQRT(2))</f>
        <v>0.70710678118654746</v>
      </c>
      <c r="K175" s="89" t="s">
        <v>59</v>
      </c>
      <c r="L175" s="154"/>
      <c r="M175" s="154"/>
      <c r="N175" s="96"/>
      <c r="O175" s="100"/>
      <c r="P175" s="7"/>
    </row>
    <row r="176" spans="1:16" ht="15.75">
      <c r="A176" s="5"/>
      <c r="B176" s="89" t="s">
        <v>63</v>
      </c>
      <c r="C176" s="6"/>
      <c r="D176" s="92" t="s">
        <v>61</v>
      </c>
      <c r="E176" s="93">
        <v>4.5336999999999996</v>
      </c>
      <c r="F176" s="92" t="s">
        <v>62</v>
      </c>
      <c r="G176" s="93">
        <v>-4.2385999999999999</v>
      </c>
      <c r="H176" s="94">
        <f>E176-G176</f>
        <v>8.7722999999999995</v>
      </c>
      <c r="I176" s="89" t="s">
        <v>60</v>
      </c>
      <c r="J176" s="95">
        <f>H176/(2*SQRT(2))</f>
        <v>3.1014764083013748</v>
      </c>
      <c r="K176" s="89" t="s">
        <v>59</v>
      </c>
      <c r="L176" s="93" t="s">
        <v>64</v>
      </c>
      <c r="M176" s="154"/>
      <c r="N176" s="96">
        <f>H176/H175</f>
        <v>4.3861499999999998</v>
      </c>
      <c r="O176" s="100">
        <f>J176/J175</f>
        <v>4.3861499999999998</v>
      </c>
      <c r="P176" s="7"/>
    </row>
    <row r="177" spans="1:16" ht="15.75">
      <c r="A177" s="5"/>
      <c r="B177" s="89" t="s">
        <v>65</v>
      </c>
      <c r="C177" s="6"/>
      <c r="D177" s="92" t="s">
        <v>61</v>
      </c>
      <c r="E177" s="93">
        <v>4.2233000000000001</v>
      </c>
      <c r="F177" s="92" t="s">
        <v>62</v>
      </c>
      <c r="G177" s="93">
        <v>-3.9424000000000001</v>
      </c>
      <c r="H177" s="94">
        <f>E177-G177</f>
        <v>8.1657000000000011</v>
      </c>
      <c r="I177" s="89" t="s">
        <v>60</v>
      </c>
      <c r="J177" s="95">
        <f>H177/(2*SQRT(2))</f>
        <v>2.8870109215674957</v>
      </c>
      <c r="K177" s="89" t="s">
        <v>59</v>
      </c>
      <c r="L177" s="93" t="s">
        <v>64</v>
      </c>
      <c r="M177" s="154"/>
      <c r="N177" s="96">
        <f>H177/H175</f>
        <v>4.0828500000000005</v>
      </c>
      <c r="O177" s="100">
        <f>J177/J175</f>
        <v>4.0828500000000005</v>
      </c>
      <c r="P177" s="7"/>
    </row>
    <row r="178" spans="1:16" ht="15.75">
      <c r="A178" s="5"/>
      <c r="B178" s="89"/>
      <c r="C178" s="6"/>
      <c r="D178" s="92"/>
      <c r="E178" s="93"/>
      <c r="F178" s="92"/>
      <c r="G178" s="93"/>
      <c r="H178" s="94"/>
      <c r="I178" s="89"/>
      <c r="J178" s="95"/>
      <c r="K178" s="89"/>
      <c r="L178" s="93"/>
      <c r="M178" s="154"/>
      <c r="N178" s="96"/>
      <c r="O178" s="100"/>
      <c r="P178" s="7"/>
    </row>
    <row r="179" spans="1:16" ht="15.75">
      <c r="A179" s="5"/>
      <c r="B179" s="89"/>
      <c r="C179" s="6"/>
      <c r="D179" s="92"/>
      <c r="E179" s="93"/>
      <c r="F179" s="92"/>
      <c r="G179" s="93"/>
      <c r="H179" s="94"/>
      <c r="I179" s="89"/>
      <c r="J179" s="95"/>
      <c r="K179" s="89"/>
      <c r="L179" s="93"/>
      <c r="M179" s="154"/>
      <c r="N179" s="96"/>
      <c r="O179" s="100"/>
      <c r="P179" s="7"/>
    </row>
    <row r="180" spans="1:16" ht="15.75">
      <c r="A180" s="5"/>
      <c r="B180" s="198" t="s">
        <v>205</v>
      </c>
      <c r="C180" s="198"/>
      <c r="D180" s="198"/>
      <c r="E180" s="198"/>
      <c r="F180" s="198"/>
      <c r="G180" s="198"/>
      <c r="H180" s="198"/>
      <c r="I180" s="198"/>
      <c r="J180" s="198"/>
      <c r="K180" s="198"/>
      <c r="L180" s="198"/>
      <c r="M180" s="198"/>
      <c r="N180" s="198"/>
      <c r="O180" s="198"/>
      <c r="P180" s="199"/>
    </row>
    <row r="181" spans="1:16">
      <c r="A181" s="5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7"/>
    </row>
    <row r="182" spans="1:16">
      <c r="A182" s="5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7"/>
    </row>
    <row r="183" spans="1:16">
      <c r="A183" s="5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7"/>
    </row>
    <row r="184" spans="1:16">
      <c r="A184" s="5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7"/>
    </row>
    <row r="185" spans="1:16">
      <c r="A185" s="5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7"/>
    </row>
    <row r="186" spans="1:16">
      <c r="A186" s="5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7"/>
    </row>
    <row r="187" spans="1:16">
      <c r="A187" s="5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7"/>
    </row>
    <row r="188" spans="1:16">
      <c r="A188" s="5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7"/>
    </row>
    <row r="189" spans="1:16">
      <c r="A189" s="5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7"/>
    </row>
    <row r="190" spans="1:16">
      <c r="A190" s="5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7"/>
    </row>
    <row r="191" spans="1:16">
      <c r="A191" s="5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7"/>
    </row>
    <row r="192" spans="1:16">
      <c r="A192" s="5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7"/>
    </row>
    <row r="193" spans="1:16">
      <c r="A193" s="5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7"/>
    </row>
    <row r="194" spans="1:16">
      <c r="A194" s="5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7"/>
    </row>
    <row r="195" spans="1:16">
      <c r="A195" s="5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7"/>
    </row>
    <row r="196" spans="1:16">
      <c r="A196" s="5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7"/>
    </row>
    <row r="197" spans="1:16">
      <c r="A197" s="5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7"/>
    </row>
    <row r="198" spans="1:16">
      <c r="A198" s="5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7"/>
    </row>
    <row r="199" spans="1:16">
      <c r="A199" s="5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7"/>
    </row>
    <row r="200" spans="1:16">
      <c r="A200" s="5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7"/>
    </row>
    <row r="201" spans="1:16" ht="15.75">
      <c r="A201" s="5"/>
      <c r="B201" s="89" t="s">
        <v>63</v>
      </c>
      <c r="C201" s="6"/>
      <c r="D201" s="92" t="s">
        <v>61</v>
      </c>
      <c r="E201" s="93">
        <v>147.04</v>
      </c>
      <c r="F201" s="92" t="s">
        <v>62</v>
      </c>
      <c r="G201" s="93">
        <v>-147.05000000000001</v>
      </c>
      <c r="H201" s="94">
        <f>E201-G201</f>
        <v>294.09000000000003</v>
      </c>
      <c r="I201" s="89" t="s">
        <v>60</v>
      </c>
      <c r="J201" s="95">
        <f>H201/(2*SQRT(2))</f>
        <v>103.97651663957589</v>
      </c>
      <c r="K201" s="89" t="s">
        <v>59</v>
      </c>
      <c r="L201" s="93" t="s">
        <v>64</v>
      </c>
      <c r="M201" s="154"/>
      <c r="N201" s="96">
        <f>H201/H175</f>
        <v>147.04500000000002</v>
      </c>
      <c r="O201" s="100">
        <f>J201/J175</f>
        <v>147.04500000000002</v>
      </c>
      <c r="P201" s="7"/>
    </row>
    <row r="202" spans="1:16" ht="15.75">
      <c r="A202" s="5"/>
      <c r="B202" s="89"/>
      <c r="C202" s="6"/>
      <c r="D202" s="92"/>
      <c r="E202" s="93"/>
      <c r="F202" s="92"/>
      <c r="G202" s="93"/>
      <c r="H202" s="89"/>
      <c r="I202" s="94"/>
      <c r="J202" s="89"/>
      <c r="K202" s="95"/>
      <c r="L202" s="89"/>
      <c r="M202" s="154"/>
      <c r="N202" s="154"/>
      <c r="O202" s="96"/>
      <c r="P202" s="7"/>
    </row>
    <row r="203" spans="1:16" ht="15.75">
      <c r="A203" s="5"/>
      <c r="B203" s="89"/>
      <c r="C203" s="6"/>
      <c r="D203" s="92"/>
      <c r="E203" s="93"/>
      <c r="F203" s="92"/>
      <c r="G203" s="93"/>
      <c r="H203" s="89"/>
      <c r="I203" s="94"/>
      <c r="J203" s="89"/>
      <c r="K203" s="95"/>
      <c r="L203" s="89"/>
      <c r="M203" s="154"/>
      <c r="N203" s="154"/>
      <c r="O203" s="96"/>
      <c r="P203" s="97"/>
    </row>
    <row r="204" spans="1:16" ht="15.75">
      <c r="A204" s="5"/>
      <c r="B204" s="198" t="s">
        <v>133</v>
      </c>
      <c r="C204" s="198"/>
      <c r="D204" s="198"/>
      <c r="E204" s="198"/>
      <c r="F204" s="198"/>
      <c r="G204" s="198"/>
      <c r="H204" s="198"/>
      <c r="I204" s="198"/>
      <c r="J204" s="198"/>
      <c r="K204" s="198"/>
      <c r="L204" s="198"/>
      <c r="M204" s="198"/>
      <c r="N204" s="198"/>
      <c r="O204" s="198"/>
      <c r="P204" s="199"/>
    </row>
    <row r="205" spans="1:16">
      <c r="A205" s="5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7"/>
    </row>
    <row r="206" spans="1:16">
      <c r="A206" s="5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7"/>
    </row>
    <row r="207" spans="1:16">
      <c r="A207" s="5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7"/>
    </row>
    <row r="208" spans="1:16">
      <c r="A208" s="5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7"/>
    </row>
    <row r="209" spans="1:16">
      <c r="A209" s="5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7"/>
    </row>
    <row r="210" spans="1:16">
      <c r="A210" s="5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7"/>
    </row>
    <row r="211" spans="1:16">
      <c r="A211" s="5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7"/>
    </row>
    <row r="212" spans="1:16">
      <c r="A212" s="5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7"/>
    </row>
    <row r="213" spans="1:16">
      <c r="A213" s="5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7"/>
    </row>
    <row r="214" spans="1:16">
      <c r="A214" s="5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7"/>
    </row>
    <row r="215" spans="1:16">
      <c r="A215" s="5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7"/>
    </row>
    <row r="216" spans="1:16">
      <c r="A216" s="5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7"/>
    </row>
    <row r="217" spans="1:16">
      <c r="A217" s="5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7"/>
    </row>
    <row r="218" spans="1:16">
      <c r="A218" s="5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7"/>
    </row>
    <row r="219" spans="1:16">
      <c r="A219" s="5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7"/>
    </row>
    <row r="220" spans="1:16">
      <c r="A220" s="5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7"/>
    </row>
    <row r="221" spans="1:16">
      <c r="A221" s="5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7"/>
    </row>
    <row r="222" spans="1:16">
      <c r="A222" s="5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7"/>
    </row>
    <row r="223" spans="1:16" ht="15.75">
      <c r="A223" s="5"/>
      <c r="B223" s="89"/>
      <c r="C223" s="92"/>
      <c r="D223" s="93"/>
      <c r="E223" s="92"/>
      <c r="F223" s="93"/>
      <c r="G223" s="89"/>
      <c r="H223" s="89"/>
      <c r="I223" s="94"/>
      <c r="J223" s="89"/>
      <c r="K223" s="95"/>
      <c r="L223" s="89"/>
      <c r="M223" s="209"/>
      <c r="N223" s="209"/>
      <c r="O223" s="98"/>
      <c r="P223" s="99"/>
    </row>
    <row r="224" spans="1:16" ht="15.75">
      <c r="A224" s="5"/>
      <c r="B224" s="89"/>
      <c r="C224" s="92"/>
      <c r="D224" s="93"/>
      <c r="E224" s="92"/>
      <c r="F224" s="93"/>
      <c r="G224" s="89"/>
      <c r="H224" s="89"/>
      <c r="I224" s="94"/>
      <c r="J224" s="89"/>
      <c r="K224" s="95"/>
      <c r="L224" s="89"/>
      <c r="M224" s="154"/>
      <c r="N224" s="154"/>
      <c r="O224" s="98"/>
      <c r="P224" s="99"/>
    </row>
    <row r="225" spans="1:16" ht="15.75">
      <c r="A225" s="5"/>
      <c r="B225" s="198" t="s">
        <v>163</v>
      </c>
      <c r="C225" s="198"/>
      <c r="D225" s="198"/>
      <c r="E225" s="198"/>
      <c r="F225" s="198"/>
      <c r="G225" s="198"/>
      <c r="H225" s="198"/>
      <c r="I225" s="198"/>
      <c r="J225" s="198"/>
      <c r="K225" s="198"/>
      <c r="L225" s="198"/>
      <c r="M225" s="198"/>
      <c r="N225" s="198"/>
      <c r="O225" s="198"/>
      <c r="P225" s="199"/>
    </row>
    <row r="226" spans="1:16">
      <c r="A226" s="5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7"/>
    </row>
    <row r="227" spans="1:16">
      <c r="A227" s="5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7"/>
    </row>
    <row r="228" spans="1:16">
      <c r="A228" s="5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7"/>
    </row>
    <row r="229" spans="1:16">
      <c r="A229" s="5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7"/>
    </row>
    <row r="230" spans="1:16">
      <c r="A230" s="5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7"/>
    </row>
    <row r="231" spans="1:16">
      <c r="A231" s="5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7"/>
    </row>
    <row r="232" spans="1:16">
      <c r="A232" s="5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7"/>
    </row>
    <row r="233" spans="1:16">
      <c r="A233" s="5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7"/>
    </row>
    <row r="234" spans="1:16">
      <c r="A234" s="5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7"/>
    </row>
    <row r="235" spans="1:16">
      <c r="A235" s="5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7"/>
    </row>
    <row r="236" spans="1:16">
      <c r="A236" s="5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7"/>
    </row>
    <row r="237" spans="1:16">
      <c r="A237" s="5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7"/>
    </row>
    <row r="238" spans="1:16">
      <c r="A238" s="5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7"/>
    </row>
    <row r="239" spans="1:16">
      <c r="A239" s="5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7"/>
    </row>
    <row r="240" spans="1:16">
      <c r="A240" s="5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7"/>
    </row>
    <row r="241" spans="1:16">
      <c r="A241" s="5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7"/>
    </row>
    <row r="242" spans="1:16">
      <c r="A242" s="5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7"/>
    </row>
    <row r="243" spans="1:16">
      <c r="A243" s="5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7"/>
    </row>
    <row r="244" spans="1:16">
      <c r="A244" s="5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7"/>
    </row>
    <row r="245" spans="1:16" ht="15.75">
      <c r="A245" s="5"/>
      <c r="B245" s="89"/>
      <c r="C245" s="92"/>
      <c r="D245" s="93"/>
      <c r="E245" s="92"/>
      <c r="F245" s="93"/>
      <c r="G245" s="89"/>
      <c r="H245" s="89"/>
      <c r="I245" s="94"/>
      <c r="J245" s="89"/>
      <c r="K245" s="95"/>
      <c r="L245" s="89"/>
      <c r="M245" s="209"/>
      <c r="N245" s="209"/>
      <c r="O245" s="96"/>
      <c r="P245" s="97"/>
    </row>
    <row r="246" spans="1:16" ht="15.75">
      <c r="A246" s="5"/>
      <c r="B246" s="89"/>
      <c r="C246" s="92"/>
      <c r="D246" s="93"/>
      <c r="E246" s="92"/>
      <c r="F246" s="93"/>
      <c r="G246" s="89"/>
      <c r="H246" s="89"/>
      <c r="I246" s="94"/>
      <c r="J246" s="89"/>
      <c r="K246" s="95"/>
      <c r="L246" s="89"/>
      <c r="M246" s="209"/>
      <c r="N246" s="209"/>
      <c r="O246" s="96"/>
      <c r="P246" s="97"/>
    </row>
    <row r="247" spans="1:16" ht="15.75">
      <c r="A247" s="5"/>
      <c r="B247" s="198" t="s">
        <v>135</v>
      </c>
      <c r="C247" s="198"/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  <c r="N247" s="198"/>
      <c r="O247" s="198"/>
      <c r="P247" s="199"/>
    </row>
    <row r="248" spans="1:16">
      <c r="A248" s="5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7"/>
    </row>
    <row r="249" spans="1:16" ht="15.75">
      <c r="A249" s="5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4"/>
    </row>
    <row r="250" spans="1:16">
      <c r="A250" s="5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7"/>
    </row>
    <row r="251" spans="1:16">
      <c r="A251" s="5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7"/>
    </row>
    <row r="252" spans="1:16">
      <c r="A252" s="5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7"/>
    </row>
    <row r="253" spans="1:16">
      <c r="A253" s="5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7"/>
    </row>
    <row r="254" spans="1:16">
      <c r="A254" s="5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7"/>
    </row>
    <row r="255" spans="1:16">
      <c r="A255" s="5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7"/>
    </row>
    <row r="256" spans="1:16">
      <c r="A256" s="5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7"/>
    </row>
    <row r="257" spans="1:16">
      <c r="A257" s="5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7"/>
    </row>
    <row r="258" spans="1:16">
      <c r="A258" s="5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7"/>
    </row>
    <row r="259" spans="1:16">
      <c r="A259" s="5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7"/>
    </row>
    <row r="260" spans="1:16">
      <c r="A260" s="5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7"/>
    </row>
    <row r="261" spans="1:16">
      <c r="A261" s="5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7"/>
    </row>
    <row r="262" spans="1:16">
      <c r="A262" s="5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7"/>
    </row>
    <row r="263" spans="1:16">
      <c r="A263" s="5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7"/>
    </row>
    <row r="264" spans="1:16">
      <c r="A264" s="5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7"/>
    </row>
    <row r="265" spans="1:16">
      <c r="A265" s="5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7"/>
    </row>
    <row r="266" spans="1:16">
      <c r="A266" s="5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7"/>
    </row>
    <row r="267" spans="1:16">
      <c r="A267" s="5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7"/>
    </row>
    <row r="268" spans="1:16" ht="15.75" thickBot="1">
      <c r="A268" s="44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86"/>
    </row>
    <row r="269" spans="1:16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85"/>
    </row>
    <row r="270" spans="1:16" ht="15.75">
      <c r="A270" s="5"/>
      <c r="B270" s="198" t="s">
        <v>164</v>
      </c>
      <c r="C270" s="198"/>
      <c r="D270" s="198"/>
      <c r="E270" s="198"/>
      <c r="F270" s="198"/>
      <c r="G270" s="198"/>
      <c r="H270" s="198"/>
      <c r="I270" s="198"/>
      <c r="J270" s="198"/>
      <c r="K270" s="198"/>
      <c r="L270" s="198"/>
      <c r="M270" s="198"/>
      <c r="N270" s="198"/>
      <c r="O270" s="198"/>
      <c r="P270" s="199"/>
    </row>
    <row r="271" spans="1:16">
      <c r="A271" s="5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7"/>
    </row>
    <row r="272" spans="1:16">
      <c r="A272" s="5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7"/>
    </row>
    <row r="273" spans="1:16">
      <c r="A273" s="5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7"/>
    </row>
    <row r="274" spans="1:16">
      <c r="A274" s="5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7"/>
    </row>
    <row r="275" spans="1:16">
      <c r="A275" s="5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7"/>
    </row>
    <row r="276" spans="1:16">
      <c r="A276" s="5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7"/>
    </row>
    <row r="277" spans="1:16">
      <c r="A277" s="5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7"/>
    </row>
    <row r="278" spans="1:16">
      <c r="A278" s="5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7"/>
    </row>
    <row r="279" spans="1:16">
      <c r="A279" s="5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7"/>
    </row>
    <row r="280" spans="1:16">
      <c r="A280" s="5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7"/>
    </row>
    <row r="281" spans="1:16">
      <c r="A281" s="5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7"/>
    </row>
    <row r="282" spans="1:16">
      <c r="A282" s="5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7"/>
    </row>
    <row r="283" spans="1:16">
      <c r="A283" s="5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7"/>
    </row>
    <row r="284" spans="1:16">
      <c r="A284" s="5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7"/>
    </row>
    <row r="285" spans="1:16">
      <c r="A285" s="5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7"/>
    </row>
    <row r="286" spans="1:16">
      <c r="A286" s="5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7"/>
    </row>
    <row r="287" spans="1:16">
      <c r="A287" s="5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7"/>
    </row>
    <row r="288" spans="1:16">
      <c r="A288" s="5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7"/>
    </row>
    <row r="289" spans="1:16">
      <c r="A289" s="5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7"/>
    </row>
    <row r="290" spans="1:16">
      <c r="A290" s="5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7"/>
    </row>
    <row r="291" spans="1:16">
      <c r="A291" s="5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7"/>
    </row>
    <row r="292" spans="1:16" ht="15.75">
      <c r="A292" s="5"/>
      <c r="B292" s="198" t="s">
        <v>164</v>
      </c>
      <c r="C292" s="198"/>
      <c r="D292" s="198"/>
      <c r="E292" s="198"/>
      <c r="F292" s="198"/>
      <c r="G292" s="198"/>
      <c r="H292" s="198"/>
      <c r="I292" s="198"/>
      <c r="J292" s="198"/>
      <c r="K292" s="198"/>
      <c r="L292" s="198"/>
      <c r="M292" s="198"/>
      <c r="N292" s="198"/>
      <c r="O292" s="198"/>
      <c r="P292" s="199"/>
    </row>
    <row r="293" spans="1:16">
      <c r="A293" s="5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7"/>
    </row>
    <row r="294" spans="1:16">
      <c r="A294" s="5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7"/>
    </row>
    <row r="295" spans="1:16">
      <c r="A295" s="5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7"/>
    </row>
    <row r="296" spans="1:16">
      <c r="A296" s="5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7"/>
    </row>
    <row r="297" spans="1:16">
      <c r="A297" s="5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7"/>
    </row>
    <row r="298" spans="1:16">
      <c r="A298" s="5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7"/>
    </row>
    <row r="299" spans="1:16">
      <c r="A299" s="5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7"/>
    </row>
    <row r="300" spans="1:16">
      <c r="A300" s="5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7"/>
    </row>
    <row r="301" spans="1:16">
      <c r="A301" s="5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7"/>
    </row>
    <row r="302" spans="1:16">
      <c r="A302" s="5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7"/>
    </row>
    <row r="303" spans="1:16">
      <c r="A303" s="5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7"/>
    </row>
    <row r="304" spans="1:16">
      <c r="A304" s="5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7"/>
    </row>
    <row r="305" spans="1:16">
      <c r="A305" s="5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7"/>
    </row>
    <row r="306" spans="1:16">
      <c r="A306" s="5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7"/>
    </row>
    <row r="307" spans="1:16">
      <c r="A307" s="5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7"/>
    </row>
    <row r="308" spans="1:16">
      <c r="A308" s="5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7"/>
    </row>
    <row r="309" spans="1:16">
      <c r="A309" s="5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7"/>
    </row>
    <row r="310" spans="1:16">
      <c r="A310" s="5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7"/>
    </row>
    <row r="311" spans="1:16">
      <c r="A311" s="5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7"/>
    </row>
    <row r="312" spans="1:16" ht="15.75" thickBot="1">
      <c r="A312" s="44"/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86"/>
    </row>
  </sheetData>
  <mergeCells count="104">
    <mergeCell ref="V1:AN1"/>
    <mergeCell ref="Q32:R32"/>
    <mergeCell ref="Q15:S15"/>
    <mergeCell ref="AA3:AK3"/>
    <mergeCell ref="Q19:S19"/>
    <mergeCell ref="AL18:AM18"/>
    <mergeCell ref="AB15:AC15"/>
    <mergeCell ref="AF21:AG21"/>
    <mergeCell ref="AJ21:AK21"/>
    <mergeCell ref="AB13:AC13"/>
    <mergeCell ref="AF13:AG13"/>
    <mergeCell ref="AG16:AH16"/>
    <mergeCell ref="W3:X3"/>
    <mergeCell ref="W29:X29"/>
    <mergeCell ref="Y4:Z4"/>
    <mergeCell ref="Y18:Z18"/>
    <mergeCell ref="M6:O6"/>
    <mergeCell ref="K7:L7"/>
    <mergeCell ref="B10:C10"/>
    <mergeCell ref="Q35:T35"/>
    <mergeCell ref="Q12:S12"/>
    <mergeCell ref="Q1:R1"/>
    <mergeCell ref="Q3:S3"/>
    <mergeCell ref="Q4:S4"/>
    <mergeCell ref="Q5:S5"/>
    <mergeCell ref="B1:L1"/>
    <mergeCell ref="B3:G3"/>
    <mergeCell ref="H3:L3"/>
    <mergeCell ref="M3:P3"/>
    <mergeCell ref="B4:E4"/>
    <mergeCell ref="K4:L4"/>
    <mergeCell ref="B5:C5"/>
    <mergeCell ref="M5:O5"/>
    <mergeCell ref="B28:C28"/>
    <mergeCell ref="M36:N37"/>
    <mergeCell ref="B47:C47"/>
    <mergeCell ref="B48:C48"/>
    <mergeCell ref="B49:C49"/>
    <mergeCell ref="B50:C50"/>
    <mergeCell ref="B73:D73"/>
    <mergeCell ref="K12:O12"/>
    <mergeCell ref="B11:C11"/>
    <mergeCell ref="B27:C27"/>
    <mergeCell ref="B12:C12"/>
    <mergeCell ref="B20:C20"/>
    <mergeCell ref="H21:K21"/>
    <mergeCell ref="B22:G22"/>
    <mergeCell ref="B26:C26"/>
    <mergeCell ref="L22:M22"/>
    <mergeCell ref="L23:N24"/>
    <mergeCell ref="B24:C24"/>
    <mergeCell ref="B25:G25"/>
    <mergeCell ref="L25:M25"/>
    <mergeCell ref="B292:P292"/>
    <mergeCell ref="M223:N223"/>
    <mergeCell ref="B225:P225"/>
    <mergeCell ref="M245:N245"/>
    <mergeCell ref="M246:N246"/>
    <mergeCell ref="B247:P247"/>
    <mergeCell ref="B154:P154"/>
    <mergeCell ref="B180:P180"/>
    <mergeCell ref="M81:N81"/>
    <mergeCell ref="B81:D81"/>
    <mergeCell ref="AB67:AC67"/>
    <mergeCell ref="AF67:AG67"/>
    <mergeCell ref="B270:P270"/>
    <mergeCell ref="B204:P204"/>
    <mergeCell ref="B82:D82"/>
    <mergeCell ref="B83:D83"/>
    <mergeCell ref="N91:O91"/>
    <mergeCell ref="B93:D93"/>
    <mergeCell ref="B97:E97"/>
    <mergeCell ref="B100:D100"/>
    <mergeCell ref="B101:M101"/>
    <mergeCell ref="N105:P105"/>
    <mergeCell ref="B107:P107"/>
    <mergeCell ref="B131:P131"/>
    <mergeCell ref="Y72:Z72"/>
    <mergeCell ref="AB69:AC69"/>
    <mergeCell ref="B80:D80"/>
    <mergeCell ref="AL45:AM45"/>
    <mergeCell ref="AB52:AC52"/>
    <mergeCell ref="AF79:AG79"/>
    <mergeCell ref="AB77:AC77"/>
    <mergeCell ref="W16:X16"/>
    <mergeCell ref="AB21:AC21"/>
    <mergeCell ref="AA29:AK29"/>
    <mergeCell ref="W56:X56"/>
    <mergeCell ref="Y57:Z57"/>
    <mergeCell ref="Y30:Z30"/>
    <mergeCell ref="AA56:AK56"/>
    <mergeCell ref="AB40:AC40"/>
    <mergeCell ref="AF40:AG40"/>
    <mergeCell ref="AB42:AC42"/>
    <mergeCell ref="AG43:AH43"/>
    <mergeCell ref="Y45:Z45"/>
    <mergeCell ref="AB48:AC48"/>
    <mergeCell ref="AF48:AG48"/>
    <mergeCell ref="AJ48:AK48"/>
    <mergeCell ref="AL72:AM72"/>
    <mergeCell ref="AG70:AH70"/>
    <mergeCell ref="AB75:AC75"/>
    <mergeCell ref="AF75:AG75"/>
    <mergeCell ref="AJ75:AK75"/>
  </mergeCells>
  <dataValidations count="7">
    <dataValidation allowBlank="1" showInputMessage="1" showErrorMessage="1" promptTitle="Den valgte Beta værdi" prompt="Beta=KVrod af Min * Max" sqref="C6"/>
    <dataValidation type="whole" allowBlank="1" showInputMessage="1" showErrorMessage="1" errorTitle="Transistorens forstærkning" error="Skal være mellem_x000a_1 og 1000" promptTitle="Transistorens forstærkning" prompt="Indsæt Max værdi for Beta" sqref="E6">
      <formula1>1</formula1>
      <formula2>1000</formula2>
    </dataValidation>
    <dataValidation type="whole" allowBlank="1" showInputMessage="1" showErrorMessage="1" errorTitle="Transistorens forstærkning" error="Skal være mellem_x000a_1 og 1000" promptTitle="Transistorens forstærkning" prompt="Indsæt Min værdi for beta" sqref="D6">
      <formula1>1</formula1>
      <formula2>1000</formula2>
    </dataValidation>
    <dataValidation type="decimal" allowBlank="1" showInputMessage="1" showErrorMessage="1" errorTitle="Forsyningsspænding" error="Husk Vcc er negativ" promptTitle="Forsyningsspænding" prompt="Indsæt negativt fortegn" sqref="F6">
      <formula1>-100</formula1>
      <formula2>0</formula2>
    </dataValidation>
    <dataValidation type="list" operator="lessThan" allowBlank="1" showInputMessage="1" showErrorMessage="1" errorTitle="Base Emitter spænding" error="Husk VBE er negativ" promptTitle="Base Emitter spænding" prompt="Indsæt negativ fortegn" sqref="H6">
      <formula1>$Q$19:$Q$29</formula1>
    </dataValidation>
    <dataValidation type="decimal" allowBlank="1" showInputMessage="1" showErrorMessage="1" errorTitle="Emitter spænding" error="Indsæt negativ fortegn_x000a_Max 10% af Vcc" promptTitle="Emitter spænding" prompt="Indsæt negativ fortegn_x000a_Max 10% af Vcc" sqref="I6">
      <formula1>-100</formula1>
      <formula2>0</formula2>
    </dataValidation>
    <dataValidation allowBlank="1" showInputMessage="1" showErrorMessage="1" promptTitle="Transistor type" prompt="PNP" sqref="B6"/>
  </dataValidations>
  <hyperlinks>
    <hyperlink ref="M5" r:id="rId1"/>
    <hyperlink ref="Q35" r:id="rId2"/>
  </hyperlinks>
  <pageMargins left="0.7" right="0.7" top="0.75" bottom="0.75" header="0.3" footer="0.3"/>
  <ignoredErrors>
    <ignoredError sqref="I91" formula="1"/>
  </ignoredErrors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>
  <dimension ref="A1:BE100"/>
  <sheetViews>
    <sheetView workbookViewId="0"/>
  </sheetViews>
  <sheetFormatPr defaultRowHeight="15"/>
  <cols>
    <col min="1" max="1" width="2.7109375" customWidth="1"/>
  </cols>
  <sheetData>
    <row r="1" spans="1:57" ht="15.75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249" t="s">
        <v>234</v>
      </c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175"/>
      <c r="AL1" s="249" t="s">
        <v>234</v>
      </c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175"/>
      <c r="BD1" s="175"/>
      <c r="BE1" s="175"/>
    </row>
    <row r="2" spans="1:57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</row>
    <row r="3" spans="1:57">
      <c r="A3" s="175"/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</row>
    <row r="4" spans="1:57">
      <c r="A4" s="175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</row>
    <row r="5" spans="1:57">
      <c r="A5" s="175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</row>
    <row r="6" spans="1:57">
      <c r="A6" s="175"/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</row>
    <row r="7" spans="1:57">
      <c r="A7" s="175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</row>
    <row r="8" spans="1:57">
      <c r="A8" s="175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</row>
    <row r="9" spans="1:57">
      <c r="A9" s="175"/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</row>
    <row r="10" spans="1:57">
      <c r="A10" s="175"/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</row>
    <row r="11" spans="1:57">
      <c r="A11" s="175"/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</row>
    <row r="12" spans="1:57">
      <c r="A12" s="175"/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</row>
    <row r="13" spans="1:57">
      <c r="A13" s="175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</row>
    <row r="14" spans="1:57">
      <c r="A14" s="175"/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</row>
    <row r="15" spans="1:57">
      <c r="A15" s="175"/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</row>
    <row r="16" spans="1:57">
      <c r="A16" s="175"/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</row>
    <row r="17" spans="1:57">
      <c r="A17" s="175"/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</row>
    <row r="18" spans="1:57">
      <c r="A18" s="175"/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5"/>
      <c r="AQ18" s="175"/>
      <c r="AR18" s="175"/>
      <c r="AS18" s="175"/>
      <c r="AT18" s="175"/>
      <c r="AU18" s="175"/>
      <c r="AV18" s="175"/>
      <c r="AW18" s="175"/>
      <c r="AX18" s="175"/>
      <c r="AY18" s="175"/>
      <c r="AZ18" s="175"/>
      <c r="BA18" s="175"/>
      <c r="BB18" s="175"/>
      <c r="BC18" s="175"/>
      <c r="BD18" s="175"/>
      <c r="BE18" s="175"/>
    </row>
    <row r="19" spans="1:57">
      <c r="A19" s="175"/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5"/>
      <c r="AQ19" s="175"/>
      <c r="AR19" s="175"/>
      <c r="AS19" s="175"/>
      <c r="AT19" s="175"/>
      <c r="AU19" s="175"/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</row>
    <row r="20" spans="1:57">
      <c r="A20" s="175"/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5"/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5"/>
      <c r="BB20" s="175"/>
      <c r="BC20" s="175"/>
      <c r="BD20" s="175"/>
      <c r="BE20" s="175"/>
    </row>
    <row r="21" spans="1:57">
      <c r="A21" s="175"/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5"/>
      <c r="AQ21" s="175"/>
      <c r="AR21" s="175"/>
      <c r="AS21" s="175"/>
      <c r="AT21" s="175"/>
      <c r="AU21" s="175"/>
      <c r="AV21" s="175"/>
      <c r="AW21" s="175"/>
      <c r="AX21" s="175"/>
      <c r="AY21" s="175"/>
      <c r="AZ21" s="175"/>
      <c r="BA21" s="175"/>
      <c r="BB21" s="175"/>
      <c r="BC21" s="175"/>
      <c r="BD21" s="175"/>
      <c r="BE21" s="175"/>
    </row>
    <row r="22" spans="1:57">
      <c r="A22" s="175"/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81" t="s">
        <v>237</v>
      </c>
      <c r="U22" s="181"/>
      <c r="V22" s="181"/>
      <c r="W22" s="181"/>
      <c r="X22" s="181" t="s">
        <v>238</v>
      </c>
      <c r="Y22" s="181">
        <v>90</v>
      </c>
      <c r="Z22" s="181" t="s">
        <v>239</v>
      </c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5"/>
      <c r="AQ22" s="175"/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175"/>
      <c r="BD22" s="175"/>
      <c r="BE22" s="175"/>
    </row>
    <row r="23" spans="1:57">
      <c r="A23" s="175"/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81" t="s">
        <v>242</v>
      </c>
      <c r="AM23" s="181"/>
      <c r="AN23" s="181"/>
      <c r="AO23" s="181"/>
      <c r="AP23" s="181" t="s">
        <v>238</v>
      </c>
      <c r="AQ23" s="181">
        <v>22</v>
      </c>
      <c r="AR23" s="181" t="s">
        <v>243</v>
      </c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</row>
    <row r="24" spans="1:57" ht="15.75">
      <c r="A24" s="175"/>
      <c r="B24" s="249" t="s">
        <v>234</v>
      </c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175"/>
      <c r="T24" s="249" t="s">
        <v>235</v>
      </c>
      <c r="U24" s="249"/>
      <c r="V24" s="249"/>
      <c r="W24" s="249"/>
      <c r="X24" s="249"/>
      <c r="Y24" s="249"/>
      <c r="Z24" s="249"/>
      <c r="AA24" s="249"/>
      <c r="AB24" s="249"/>
      <c r="AC24" s="249"/>
      <c r="AD24" s="249"/>
      <c r="AE24" s="249"/>
      <c r="AF24" s="249"/>
      <c r="AG24" s="249"/>
      <c r="AH24" s="249"/>
      <c r="AI24" s="249"/>
      <c r="AJ24" s="249"/>
      <c r="AK24" s="175"/>
      <c r="AL24" s="249" t="s">
        <v>235</v>
      </c>
      <c r="AM24" s="249"/>
      <c r="AN24" s="249"/>
      <c r="AO24" s="249"/>
      <c r="AP24" s="249"/>
      <c r="AQ24" s="249"/>
      <c r="AR24" s="249"/>
      <c r="AS24" s="249"/>
      <c r="AT24" s="249"/>
      <c r="AU24" s="249"/>
      <c r="AV24" s="249"/>
      <c r="AW24" s="249"/>
      <c r="AX24" s="249"/>
      <c r="AY24" s="249"/>
      <c r="AZ24" s="249"/>
      <c r="BA24" s="249"/>
      <c r="BB24" s="249"/>
      <c r="BC24" s="175"/>
      <c r="BD24" s="175"/>
      <c r="BE24" s="175"/>
    </row>
    <row r="25" spans="1:57">
      <c r="A25" s="175"/>
      <c r="B25" s="175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</row>
    <row r="26" spans="1:57">
      <c r="A26" s="175"/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</row>
    <row r="27" spans="1:57">
      <c r="A27" s="175"/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</row>
    <row r="28" spans="1:57">
      <c r="A28" s="175"/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</row>
    <row r="29" spans="1:57">
      <c r="A29" s="175"/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</row>
    <row r="30" spans="1:57">
      <c r="A30" s="175"/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</row>
    <row r="31" spans="1:57">
      <c r="A31" s="175"/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</row>
    <row r="32" spans="1:57">
      <c r="A32" s="175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</row>
    <row r="33" spans="1:57">
      <c r="A33" s="175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</row>
    <row r="34" spans="1:57">
      <c r="A34" s="175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5"/>
      <c r="AO34" s="175"/>
      <c r="AP34" s="175"/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5"/>
      <c r="BB34" s="175"/>
      <c r="BC34" s="175"/>
      <c r="BD34" s="175"/>
      <c r="BE34" s="175"/>
    </row>
    <row r="35" spans="1:57">
      <c r="A35" s="175"/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</row>
    <row r="36" spans="1:57">
      <c r="A36" s="175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5"/>
      <c r="BE36" s="175"/>
    </row>
    <row r="37" spans="1:57">
      <c r="A37" s="175"/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</row>
    <row r="38" spans="1:57">
      <c r="A38" s="175"/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</row>
    <row r="39" spans="1:57">
      <c r="A39" s="175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</row>
    <row r="40" spans="1:57">
      <c r="A40" s="175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</row>
    <row r="41" spans="1:57">
      <c r="A41" s="175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</row>
    <row r="42" spans="1:57">
      <c r="A42" s="175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</row>
    <row r="43" spans="1:57">
      <c r="A43" s="175"/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</row>
    <row r="44" spans="1:57">
      <c r="A44" s="175"/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</row>
    <row r="45" spans="1:57">
      <c r="A45" s="175"/>
      <c r="B45" s="181" t="s">
        <v>231</v>
      </c>
      <c r="C45" s="181">
        <v>2</v>
      </c>
      <c r="D45" s="181" t="s">
        <v>60</v>
      </c>
      <c r="E45" s="181" t="s">
        <v>232</v>
      </c>
      <c r="F45" s="181">
        <v>8.8417999999999992</v>
      </c>
      <c r="G45" s="181" t="s">
        <v>60</v>
      </c>
      <c r="H45" s="181" t="s">
        <v>211</v>
      </c>
      <c r="I45" s="181" t="s">
        <v>233</v>
      </c>
      <c r="J45" s="182">
        <f>F45/C45</f>
        <v>4.4208999999999996</v>
      </c>
      <c r="K45" s="175"/>
      <c r="L45" s="175"/>
      <c r="M45" s="175"/>
      <c r="N45" s="175"/>
      <c r="O45" s="175"/>
      <c r="P45" s="175"/>
      <c r="Q45" s="175"/>
      <c r="R45" s="175"/>
      <c r="S45" s="175"/>
      <c r="T45" s="181" t="s">
        <v>240</v>
      </c>
      <c r="U45" s="181"/>
      <c r="V45" s="181"/>
      <c r="W45" s="181"/>
      <c r="X45" s="181" t="s">
        <v>238</v>
      </c>
      <c r="Y45" s="181">
        <v>100</v>
      </c>
      <c r="Z45" s="181" t="s">
        <v>239</v>
      </c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81" t="s">
        <v>244</v>
      </c>
      <c r="AM45" s="181"/>
      <c r="AN45" s="181"/>
      <c r="AO45" s="181"/>
      <c r="AP45" s="181" t="s">
        <v>238</v>
      </c>
      <c r="AQ45" s="181">
        <v>29</v>
      </c>
      <c r="AR45" s="181" t="s">
        <v>243</v>
      </c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</row>
    <row r="46" spans="1:57">
      <c r="A46" s="175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</row>
    <row r="47" spans="1:57">
      <c r="A47" s="175"/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</row>
    <row r="48" spans="1:57" ht="15.75">
      <c r="A48" s="175"/>
      <c r="B48" s="249" t="s">
        <v>235</v>
      </c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  <c r="R48" s="249"/>
      <c r="S48" s="175"/>
      <c r="T48" s="249" t="s">
        <v>236</v>
      </c>
      <c r="U48" s="249"/>
      <c r="V48" s="249"/>
      <c r="W48" s="249"/>
      <c r="X48" s="249"/>
      <c r="Y48" s="249"/>
      <c r="Z48" s="249"/>
      <c r="AA48" s="249"/>
      <c r="AB48" s="249"/>
      <c r="AC48" s="249"/>
      <c r="AD48" s="249"/>
      <c r="AE48" s="249"/>
      <c r="AF48" s="249"/>
      <c r="AG48" s="249"/>
      <c r="AH48" s="249"/>
      <c r="AI48" s="249"/>
      <c r="AJ48" s="249"/>
      <c r="AK48" s="175"/>
      <c r="AL48" s="249" t="s">
        <v>236</v>
      </c>
      <c r="AM48" s="249"/>
      <c r="AN48" s="249"/>
      <c r="AO48" s="249"/>
      <c r="AP48" s="249"/>
      <c r="AQ48" s="249"/>
      <c r="AR48" s="249"/>
      <c r="AS48" s="249"/>
      <c r="AT48" s="249"/>
      <c r="AU48" s="249"/>
      <c r="AV48" s="249"/>
      <c r="AW48" s="249"/>
      <c r="AX48" s="249"/>
      <c r="AY48" s="249"/>
      <c r="AZ48" s="249"/>
      <c r="BA48" s="249"/>
      <c r="BB48" s="249"/>
      <c r="BC48" s="175"/>
      <c r="BD48" s="175"/>
      <c r="BE48" s="175"/>
    </row>
    <row r="49" spans="1:57">
      <c r="A49" s="175"/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</row>
    <row r="50" spans="1:57">
      <c r="A50" s="175"/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</row>
    <row r="51" spans="1:57">
      <c r="A51" s="175"/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75"/>
      <c r="BC51" s="175"/>
      <c r="BD51" s="175"/>
      <c r="BE51" s="175"/>
    </row>
    <row r="52" spans="1:57">
      <c r="A52" s="175"/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</row>
    <row r="53" spans="1:5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</row>
    <row r="54" spans="1:57">
      <c r="A54" s="175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</row>
    <row r="55" spans="1:57">
      <c r="A55" s="175"/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  <c r="AZ55" s="175"/>
      <c r="BA55" s="175"/>
      <c r="BB55" s="175"/>
      <c r="BC55" s="175"/>
      <c r="BD55" s="175"/>
      <c r="BE55" s="175"/>
    </row>
    <row r="56" spans="1:57">
      <c r="A56" s="175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</row>
    <row r="57" spans="1:57">
      <c r="A57" s="175"/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</row>
    <row r="58" spans="1:57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</row>
    <row r="59" spans="1:57">
      <c r="A59" s="175"/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  <c r="AM59" s="175"/>
      <c r="AN59" s="175"/>
      <c r="AO59" s="175"/>
      <c r="AP59" s="175"/>
      <c r="AQ59" s="175"/>
      <c r="AR59" s="175"/>
      <c r="AS59" s="175"/>
      <c r="AT59" s="175"/>
      <c r="AU59" s="175"/>
      <c r="AV59" s="175"/>
      <c r="AW59" s="175"/>
      <c r="AX59" s="175"/>
      <c r="AY59" s="175"/>
      <c r="AZ59" s="175"/>
      <c r="BA59" s="175"/>
      <c r="BB59" s="175"/>
      <c r="BC59" s="175"/>
      <c r="BD59" s="175"/>
      <c r="BE59" s="175"/>
    </row>
    <row r="60" spans="1:57">
      <c r="A60" s="175"/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5"/>
      <c r="AM60" s="175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</row>
    <row r="61" spans="1:57">
      <c r="A61" s="175"/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  <c r="AM61" s="175"/>
      <c r="AN61" s="175"/>
      <c r="AO61" s="175"/>
      <c r="AP61" s="175"/>
      <c r="AQ61" s="175"/>
      <c r="AR61" s="175"/>
      <c r="AS61" s="175"/>
      <c r="AT61" s="175"/>
      <c r="AU61" s="175"/>
      <c r="AV61" s="175"/>
      <c r="AW61" s="175"/>
      <c r="AX61" s="175"/>
      <c r="AY61" s="175"/>
      <c r="AZ61" s="175"/>
      <c r="BA61" s="175"/>
      <c r="BB61" s="175"/>
      <c r="BC61" s="175"/>
      <c r="BD61" s="175"/>
      <c r="BE61" s="175"/>
    </row>
    <row r="62" spans="1:57">
      <c r="A62" s="175"/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5"/>
      <c r="AQ62" s="175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</row>
    <row r="63" spans="1:57">
      <c r="A63" s="175"/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  <c r="AM63" s="175"/>
      <c r="AN63" s="175"/>
      <c r="AO63" s="175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  <c r="AZ63" s="175"/>
      <c r="BA63" s="175"/>
      <c r="BB63" s="175"/>
      <c r="BC63" s="175"/>
      <c r="BD63" s="175"/>
      <c r="BE63" s="175"/>
    </row>
    <row r="64" spans="1:57">
      <c r="A64" s="175"/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  <c r="AM64" s="175"/>
      <c r="AN64" s="175"/>
      <c r="AO64" s="175"/>
      <c r="AP64" s="175"/>
      <c r="AQ64" s="175"/>
      <c r="AR64" s="175"/>
      <c r="AS64" s="175"/>
      <c r="AT64" s="175"/>
      <c r="AU64" s="175"/>
      <c r="AV64" s="175"/>
      <c r="AW64" s="175"/>
      <c r="AX64" s="175"/>
      <c r="AY64" s="175"/>
      <c r="AZ64" s="175"/>
      <c r="BA64" s="175"/>
      <c r="BB64" s="175"/>
      <c r="BC64" s="175"/>
      <c r="BD64" s="175"/>
      <c r="BE64" s="175"/>
    </row>
    <row r="65" spans="1:57">
      <c r="A65" s="175"/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5"/>
      <c r="AM65" s="175"/>
      <c r="AN65" s="175"/>
      <c r="AO65" s="175"/>
      <c r="AP65" s="175"/>
      <c r="AQ65" s="175"/>
      <c r="AR65" s="175"/>
      <c r="AS65" s="175"/>
      <c r="AT65" s="175"/>
      <c r="AU65" s="175"/>
      <c r="AV65" s="175"/>
      <c r="AW65" s="175"/>
      <c r="AX65" s="175"/>
      <c r="AY65" s="175"/>
      <c r="AZ65" s="175"/>
      <c r="BA65" s="175"/>
      <c r="BB65" s="175"/>
      <c r="BC65" s="175"/>
      <c r="BD65" s="175"/>
      <c r="BE65" s="175"/>
    </row>
    <row r="66" spans="1:57">
      <c r="A66" s="175"/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  <c r="AM66" s="175"/>
      <c r="AN66" s="175"/>
      <c r="AO66" s="175"/>
      <c r="AP66" s="175"/>
      <c r="AQ66" s="175"/>
      <c r="AR66" s="175"/>
      <c r="AS66" s="175"/>
      <c r="AT66" s="175"/>
      <c r="AU66" s="175"/>
      <c r="AV66" s="175"/>
      <c r="AW66" s="175"/>
      <c r="AX66" s="175"/>
      <c r="AY66" s="175"/>
      <c r="AZ66" s="175"/>
      <c r="BA66" s="175"/>
      <c r="BB66" s="175"/>
      <c r="BC66" s="175"/>
      <c r="BD66" s="175"/>
      <c r="BE66" s="175"/>
    </row>
    <row r="67" spans="1:57">
      <c r="A67" s="175"/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5"/>
      <c r="AM67" s="175"/>
      <c r="AN67" s="175"/>
      <c r="AO67" s="175"/>
      <c r="AP67" s="175"/>
      <c r="AQ67" s="175"/>
      <c r="AR67" s="175"/>
      <c r="AS67" s="175"/>
      <c r="AT67" s="175"/>
      <c r="AU67" s="175"/>
      <c r="AV67" s="175"/>
      <c r="AW67" s="175"/>
      <c r="AX67" s="175"/>
      <c r="AY67" s="175"/>
      <c r="AZ67" s="175"/>
      <c r="BA67" s="175"/>
      <c r="BB67" s="175"/>
      <c r="BC67" s="175"/>
      <c r="BD67" s="175"/>
      <c r="BE67" s="175"/>
    </row>
    <row r="68" spans="1:57">
      <c r="A68" s="175"/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5"/>
      <c r="AQ68" s="175"/>
      <c r="AR68" s="175"/>
      <c r="AS68" s="175"/>
      <c r="AT68" s="175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</row>
    <row r="69" spans="1:57">
      <c r="A69" s="175"/>
      <c r="B69" s="181" t="s">
        <v>231</v>
      </c>
      <c r="C69" s="181">
        <v>2</v>
      </c>
      <c r="D69" s="181" t="s">
        <v>60</v>
      </c>
      <c r="E69" s="181" t="s">
        <v>232</v>
      </c>
      <c r="F69" s="181">
        <v>8.1706000000000003</v>
      </c>
      <c r="G69" s="181" t="s">
        <v>60</v>
      </c>
      <c r="H69" s="181" t="s">
        <v>211</v>
      </c>
      <c r="I69" s="181" t="s">
        <v>233</v>
      </c>
      <c r="J69" s="182">
        <f>F69/C69</f>
        <v>4.0853000000000002</v>
      </c>
      <c r="K69" s="175"/>
      <c r="L69" s="175"/>
      <c r="M69" s="175"/>
      <c r="N69" s="175"/>
      <c r="O69" s="175"/>
      <c r="P69" s="175"/>
      <c r="Q69" s="175"/>
      <c r="R69" s="175"/>
      <c r="S69" s="175"/>
      <c r="T69" s="181" t="s">
        <v>241</v>
      </c>
      <c r="U69" s="181"/>
      <c r="V69" s="181"/>
      <c r="W69" s="181"/>
      <c r="X69" s="181" t="s">
        <v>238</v>
      </c>
      <c r="Y69" s="181">
        <v>450</v>
      </c>
      <c r="Z69" s="181" t="s">
        <v>239</v>
      </c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81" t="s">
        <v>245</v>
      </c>
      <c r="AM69" s="181"/>
      <c r="AN69" s="181"/>
      <c r="AO69" s="181"/>
      <c r="AP69" s="181" t="s">
        <v>238</v>
      </c>
      <c r="AQ69" s="181">
        <v>17</v>
      </c>
      <c r="AR69" s="181" t="s">
        <v>243</v>
      </c>
      <c r="AS69" s="175"/>
      <c r="AT69" s="175"/>
      <c r="AU69" s="175"/>
      <c r="AV69" s="175"/>
      <c r="AW69" s="175"/>
      <c r="AX69" s="175"/>
      <c r="AY69" s="175"/>
      <c r="AZ69" s="175"/>
      <c r="BA69" s="175"/>
      <c r="BB69" s="175"/>
      <c r="BC69" s="175"/>
      <c r="BD69" s="175"/>
      <c r="BE69" s="175"/>
    </row>
    <row r="70" spans="1:57">
      <c r="A70" s="175"/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5"/>
      <c r="AM70" s="175"/>
      <c r="AN70" s="175"/>
      <c r="AO70" s="175"/>
      <c r="AP70" s="175"/>
      <c r="AQ70" s="175"/>
      <c r="AR70" s="175"/>
      <c r="AS70" s="175"/>
      <c r="AT70" s="175"/>
      <c r="AU70" s="175"/>
      <c r="AV70" s="175"/>
      <c r="AW70" s="175"/>
      <c r="AX70" s="175"/>
      <c r="AY70" s="175"/>
      <c r="AZ70" s="175"/>
      <c r="BA70" s="175"/>
      <c r="BB70" s="175"/>
      <c r="BC70" s="175"/>
      <c r="BD70" s="175"/>
      <c r="BE70" s="175"/>
    </row>
    <row r="71" spans="1:57">
      <c r="A71" s="175"/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5"/>
      <c r="AM71" s="175"/>
      <c r="AN71" s="175"/>
      <c r="AO71" s="175"/>
      <c r="AP71" s="175"/>
      <c r="AQ71" s="175"/>
      <c r="AR71" s="175"/>
      <c r="AS71" s="175"/>
      <c r="AT71" s="175"/>
      <c r="AU71" s="175"/>
      <c r="AV71" s="175"/>
      <c r="AW71" s="175"/>
      <c r="AX71" s="175"/>
      <c r="AY71" s="175"/>
      <c r="AZ71" s="175"/>
      <c r="BA71" s="175"/>
      <c r="BB71" s="175"/>
      <c r="BC71" s="175"/>
      <c r="BD71" s="175"/>
      <c r="BE71" s="175"/>
    </row>
    <row r="72" spans="1:57" ht="15.75">
      <c r="A72" s="175"/>
      <c r="B72" s="249" t="s">
        <v>236</v>
      </c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  <c r="R72" s="249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5"/>
      <c r="AM72" s="175"/>
      <c r="AN72" s="175"/>
      <c r="AO72" s="175"/>
      <c r="AP72" s="175"/>
      <c r="AQ72" s="175"/>
      <c r="AR72" s="175"/>
      <c r="AS72" s="175"/>
      <c r="AT72" s="175"/>
      <c r="AU72" s="175"/>
      <c r="AV72" s="175"/>
      <c r="AW72" s="175"/>
      <c r="AX72" s="175"/>
      <c r="AY72" s="175"/>
      <c r="AZ72" s="175"/>
      <c r="BA72" s="175"/>
      <c r="BB72" s="175"/>
      <c r="BC72" s="175"/>
      <c r="BD72" s="175"/>
      <c r="BE72" s="175"/>
    </row>
    <row r="73" spans="1:57">
      <c r="A73" s="175"/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5"/>
      <c r="AM73" s="175"/>
      <c r="AN73" s="175"/>
      <c r="AO73" s="175"/>
      <c r="AP73" s="175"/>
      <c r="AQ73" s="175"/>
      <c r="AR73" s="175"/>
      <c r="AS73" s="175"/>
      <c r="AT73" s="175"/>
      <c r="AU73" s="175"/>
      <c r="AV73" s="175"/>
      <c r="AW73" s="175"/>
      <c r="AX73" s="175"/>
      <c r="AY73" s="175"/>
      <c r="AZ73" s="175"/>
      <c r="BA73" s="175"/>
      <c r="BB73" s="175"/>
      <c r="BC73" s="175"/>
      <c r="BD73" s="175"/>
      <c r="BE73" s="175"/>
    </row>
    <row r="74" spans="1:57">
      <c r="A74" s="175"/>
      <c r="B74" s="175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5"/>
      <c r="AM74" s="175"/>
      <c r="AN74" s="175"/>
      <c r="AO74" s="175"/>
      <c r="AP74" s="175"/>
      <c r="AQ74" s="175"/>
      <c r="AR74" s="175"/>
      <c r="AS74" s="175"/>
      <c r="AT74" s="175"/>
      <c r="AU74" s="175"/>
      <c r="AV74" s="175"/>
      <c r="AW74" s="175"/>
      <c r="AX74" s="175"/>
      <c r="AY74" s="175"/>
      <c r="AZ74" s="175"/>
      <c r="BA74" s="175"/>
      <c r="BB74" s="175"/>
      <c r="BC74" s="175"/>
      <c r="BD74" s="175"/>
      <c r="BE74" s="175"/>
    </row>
    <row r="75" spans="1:57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5"/>
      <c r="AM75" s="175"/>
      <c r="AN75" s="175"/>
      <c r="AO75" s="175"/>
      <c r="AP75" s="175"/>
      <c r="AQ75" s="175"/>
      <c r="AR75" s="175"/>
      <c r="AS75" s="175"/>
      <c r="AT75" s="175"/>
      <c r="AU75" s="175"/>
      <c r="AV75" s="175"/>
      <c r="AW75" s="175"/>
      <c r="AX75" s="175"/>
      <c r="AY75" s="175"/>
      <c r="AZ75" s="175"/>
      <c r="BA75" s="175"/>
      <c r="BB75" s="175"/>
      <c r="BC75" s="175"/>
      <c r="BD75" s="175"/>
      <c r="BE75" s="175"/>
    </row>
    <row r="76" spans="1:57">
      <c r="A76" s="175"/>
      <c r="B76" s="175"/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H76" s="175"/>
      <c r="AI76" s="175"/>
      <c r="AJ76" s="175"/>
      <c r="AK76" s="175"/>
      <c r="AL76" s="175"/>
      <c r="AM76" s="175"/>
      <c r="AN76" s="175"/>
      <c r="AO76" s="175"/>
      <c r="AP76" s="175"/>
      <c r="AQ76" s="175"/>
      <c r="AR76" s="175"/>
      <c r="AS76" s="175"/>
      <c r="AT76" s="175"/>
      <c r="AU76" s="175"/>
      <c r="AV76" s="175"/>
      <c r="AW76" s="175"/>
      <c r="AX76" s="175"/>
      <c r="AY76" s="175"/>
      <c r="AZ76" s="175"/>
      <c r="BA76" s="175"/>
      <c r="BB76" s="175"/>
      <c r="BC76" s="175"/>
      <c r="BD76" s="175"/>
      <c r="BE76" s="175"/>
    </row>
    <row r="77" spans="1:57">
      <c r="A77" s="175"/>
      <c r="B77" s="175"/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  <c r="AI77" s="175"/>
      <c r="AJ77" s="175"/>
      <c r="AK77" s="175"/>
      <c r="AL77" s="175"/>
      <c r="AM77" s="175"/>
      <c r="AN77" s="175"/>
      <c r="AO77" s="175"/>
      <c r="AP77" s="175"/>
      <c r="AQ77" s="175"/>
      <c r="AR77" s="175"/>
      <c r="AS77" s="175"/>
      <c r="AT77" s="175"/>
      <c r="AU77" s="175"/>
      <c r="AV77" s="175"/>
      <c r="AW77" s="175"/>
      <c r="AX77" s="175"/>
      <c r="AY77" s="175"/>
      <c r="AZ77" s="175"/>
      <c r="BA77" s="175"/>
      <c r="BB77" s="175"/>
      <c r="BC77" s="175"/>
      <c r="BD77" s="175"/>
      <c r="BE77" s="175"/>
    </row>
    <row r="78" spans="1:57">
      <c r="A78" s="175"/>
      <c r="B78" s="175"/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H78" s="175"/>
      <c r="AI78" s="175"/>
      <c r="AJ78" s="175"/>
      <c r="AK78" s="175"/>
      <c r="AL78" s="175"/>
      <c r="AM78" s="175"/>
      <c r="AN78" s="175"/>
      <c r="AO78" s="175"/>
      <c r="AP78" s="175"/>
      <c r="AQ78" s="175"/>
      <c r="AR78" s="175"/>
      <c r="AS78" s="175"/>
      <c r="AT78" s="175"/>
      <c r="AU78" s="175"/>
      <c r="AV78" s="175"/>
      <c r="AW78" s="175"/>
      <c r="AX78" s="175"/>
      <c r="AY78" s="175"/>
      <c r="AZ78" s="175"/>
      <c r="BA78" s="175"/>
      <c r="BB78" s="175"/>
      <c r="BC78" s="175"/>
      <c r="BD78" s="175"/>
      <c r="BE78" s="175"/>
    </row>
    <row r="79" spans="1:57">
      <c r="A79" s="175"/>
      <c r="B79" s="175"/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  <c r="AM79" s="175"/>
      <c r="AN79" s="175"/>
      <c r="AO79" s="175"/>
      <c r="AP79" s="175"/>
      <c r="AQ79" s="175"/>
      <c r="AR79" s="175"/>
      <c r="AS79" s="175"/>
      <c r="AT79" s="175"/>
      <c r="AU79" s="175"/>
      <c r="AV79" s="175"/>
      <c r="AW79" s="175"/>
      <c r="AX79" s="175"/>
      <c r="AY79" s="175"/>
      <c r="AZ79" s="175"/>
      <c r="BA79" s="175"/>
      <c r="BB79" s="175"/>
      <c r="BC79" s="175"/>
      <c r="BD79" s="175"/>
      <c r="BE79" s="175"/>
    </row>
    <row r="80" spans="1:57">
      <c r="A80" s="175"/>
      <c r="B80" s="175"/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175"/>
      <c r="AN80" s="175"/>
      <c r="AO80" s="175"/>
      <c r="AP80" s="175"/>
      <c r="AQ80" s="175"/>
      <c r="AR80" s="175"/>
      <c r="AS80" s="175"/>
      <c r="AT80" s="175"/>
      <c r="AU80" s="175"/>
      <c r="AV80" s="175"/>
      <c r="AW80" s="175"/>
      <c r="AX80" s="175"/>
      <c r="AY80" s="175"/>
      <c r="AZ80" s="175"/>
      <c r="BA80" s="175"/>
      <c r="BB80" s="175"/>
      <c r="BC80" s="175"/>
      <c r="BD80" s="175"/>
      <c r="BE80" s="175"/>
    </row>
    <row r="81" spans="1:57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  <c r="AM81" s="175"/>
      <c r="AN81" s="175"/>
      <c r="AO81" s="175"/>
      <c r="AP81" s="175"/>
      <c r="AQ81" s="175"/>
      <c r="AR81" s="175"/>
      <c r="AS81" s="175"/>
      <c r="AT81" s="175"/>
      <c r="AU81" s="175"/>
      <c r="AV81" s="175"/>
      <c r="AW81" s="175"/>
      <c r="AX81" s="175"/>
      <c r="AY81" s="175"/>
      <c r="AZ81" s="175"/>
      <c r="BA81" s="175"/>
      <c r="BB81" s="175"/>
      <c r="BC81" s="175"/>
      <c r="BD81" s="175"/>
      <c r="BE81" s="175"/>
    </row>
    <row r="82" spans="1:57">
      <c r="A82" s="175"/>
      <c r="B82" s="175"/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H82" s="175"/>
      <c r="AI82" s="175"/>
      <c r="AJ82" s="175"/>
      <c r="AK82" s="175"/>
      <c r="AL82" s="175"/>
      <c r="AM82" s="175"/>
      <c r="AN82" s="175"/>
      <c r="AO82" s="175"/>
      <c r="AP82" s="175"/>
      <c r="AQ82" s="175"/>
      <c r="AR82" s="175"/>
      <c r="AS82" s="175"/>
      <c r="AT82" s="175"/>
      <c r="AU82" s="175"/>
      <c r="AV82" s="175"/>
      <c r="AW82" s="175"/>
      <c r="AX82" s="175"/>
      <c r="AY82" s="175"/>
      <c r="AZ82" s="175"/>
      <c r="BA82" s="175"/>
      <c r="BB82" s="175"/>
      <c r="BC82" s="175"/>
      <c r="BD82" s="175"/>
      <c r="BE82" s="175"/>
    </row>
    <row r="83" spans="1:57">
      <c r="A83" s="175"/>
      <c r="B83" s="175"/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  <c r="AM83" s="175"/>
      <c r="AN83" s="175"/>
      <c r="AO83" s="175"/>
      <c r="AP83" s="175"/>
      <c r="AQ83" s="175"/>
      <c r="AR83" s="175"/>
      <c r="AS83" s="175"/>
      <c r="AT83" s="175"/>
      <c r="AU83" s="175"/>
      <c r="AV83" s="175"/>
      <c r="AW83" s="175"/>
      <c r="AX83" s="175"/>
      <c r="AY83" s="175"/>
      <c r="AZ83" s="175"/>
      <c r="BA83" s="175"/>
      <c r="BB83" s="175"/>
      <c r="BC83" s="175"/>
      <c r="BD83" s="175"/>
      <c r="BE83" s="175"/>
    </row>
    <row r="84" spans="1:57">
      <c r="A84" s="175"/>
      <c r="B84" s="175"/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175"/>
      <c r="AL84" s="175"/>
      <c r="AM84" s="175"/>
      <c r="AN84" s="175"/>
      <c r="AO84" s="175"/>
      <c r="AP84" s="175"/>
      <c r="AQ84" s="175"/>
      <c r="AR84" s="175"/>
      <c r="AS84" s="175"/>
      <c r="AT84" s="175"/>
      <c r="AU84" s="175"/>
      <c r="AV84" s="175"/>
      <c r="AW84" s="175"/>
      <c r="AX84" s="175"/>
      <c r="AY84" s="175"/>
      <c r="AZ84" s="175"/>
      <c r="BA84" s="175"/>
      <c r="BB84" s="175"/>
      <c r="BC84" s="175"/>
      <c r="BD84" s="175"/>
      <c r="BE84" s="175"/>
    </row>
    <row r="85" spans="1:57">
      <c r="A85" s="175"/>
      <c r="B85" s="175"/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H85" s="175"/>
      <c r="AI85" s="175"/>
      <c r="AJ85" s="175"/>
      <c r="AK85" s="175"/>
      <c r="AL85" s="175"/>
      <c r="AM85" s="175"/>
      <c r="AN85" s="175"/>
      <c r="AO85" s="175"/>
      <c r="AP85" s="175"/>
      <c r="AQ85" s="175"/>
      <c r="AR85" s="175"/>
      <c r="AS85" s="175"/>
      <c r="AT85" s="175"/>
      <c r="AU85" s="175"/>
      <c r="AV85" s="175"/>
      <c r="AW85" s="175"/>
      <c r="AX85" s="175"/>
      <c r="AY85" s="175"/>
      <c r="AZ85" s="175"/>
      <c r="BA85" s="175"/>
      <c r="BB85" s="175"/>
      <c r="BC85" s="175"/>
      <c r="BD85" s="175"/>
      <c r="BE85" s="175"/>
    </row>
    <row r="86" spans="1:57">
      <c r="A86" s="175"/>
      <c r="B86" s="175"/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5"/>
      <c r="AM86" s="175"/>
      <c r="AN86" s="175"/>
      <c r="AO86" s="175"/>
      <c r="AP86" s="175"/>
      <c r="AQ86" s="175"/>
      <c r="AR86" s="175"/>
      <c r="AS86" s="175"/>
      <c r="AT86" s="175"/>
      <c r="AU86" s="175"/>
      <c r="AV86" s="175"/>
      <c r="AW86" s="175"/>
      <c r="AX86" s="175"/>
      <c r="AY86" s="175"/>
      <c r="AZ86" s="175"/>
      <c r="BA86" s="175"/>
      <c r="BB86" s="175"/>
      <c r="BC86" s="175"/>
      <c r="BD86" s="175"/>
      <c r="BE86" s="175"/>
    </row>
    <row r="87" spans="1:57">
      <c r="A87" s="175"/>
      <c r="B87" s="175"/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  <c r="AM87" s="175"/>
      <c r="AN87" s="175"/>
      <c r="AO87" s="175"/>
      <c r="AP87" s="175"/>
      <c r="AQ87" s="175"/>
      <c r="AR87" s="175"/>
      <c r="AS87" s="175"/>
      <c r="AT87" s="175"/>
      <c r="AU87" s="175"/>
      <c r="AV87" s="175"/>
      <c r="AW87" s="175"/>
      <c r="AX87" s="175"/>
      <c r="AY87" s="175"/>
      <c r="AZ87" s="175"/>
      <c r="BA87" s="175"/>
      <c r="BB87" s="175"/>
      <c r="BC87" s="175"/>
      <c r="BD87" s="175"/>
      <c r="BE87" s="175"/>
    </row>
    <row r="88" spans="1:57">
      <c r="A88" s="175"/>
      <c r="B88" s="175"/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  <c r="AM88" s="175"/>
      <c r="AN88" s="175"/>
      <c r="AO88" s="175"/>
      <c r="AP88" s="175"/>
      <c r="AQ88" s="175"/>
      <c r="AR88" s="175"/>
      <c r="AS88" s="175"/>
      <c r="AT88" s="175"/>
      <c r="AU88" s="175"/>
      <c r="AV88" s="175"/>
      <c r="AW88" s="175"/>
      <c r="AX88" s="175"/>
      <c r="AY88" s="175"/>
      <c r="AZ88" s="175"/>
      <c r="BA88" s="175"/>
      <c r="BB88" s="175"/>
      <c r="BC88" s="175"/>
      <c r="BD88" s="175"/>
      <c r="BE88" s="175"/>
    </row>
    <row r="89" spans="1:57">
      <c r="A89" s="175"/>
      <c r="B89" s="175"/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  <c r="AG89" s="175"/>
      <c r="AH89" s="175"/>
      <c r="AI89" s="175"/>
      <c r="AJ89" s="175"/>
      <c r="AK89" s="175"/>
      <c r="AL89" s="175"/>
      <c r="AM89" s="175"/>
      <c r="AN89" s="175"/>
      <c r="AO89" s="175"/>
      <c r="AP89" s="175"/>
      <c r="AQ89" s="175"/>
      <c r="AR89" s="175"/>
      <c r="AS89" s="175"/>
      <c r="AT89" s="175"/>
      <c r="AU89" s="175"/>
      <c r="AV89" s="175"/>
      <c r="AW89" s="175"/>
      <c r="AX89" s="175"/>
      <c r="AY89" s="175"/>
      <c r="AZ89" s="175"/>
      <c r="BA89" s="175"/>
      <c r="BB89" s="175"/>
      <c r="BC89" s="175"/>
      <c r="BD89" s="175"/>
      <c r="BE89" s="175"/>
    </row>
    <row r="90" spans="1:57">
      <c r="A90" s="175"/>
      <c r="B90" s="175"/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5"/>
      <c r="AK90" s="175"/>
      <c r="AL90" s="175"/>
      <c r="AM90" s="175"/>
      <c r="AN90" s="175"/>
      <c r="AO90" s="175"/>
      <c r="AP90" s="175"/>
      <c r="AQ90" s="175"/>
      <c r="AR90" s="175"/>
      <c r="AS90" s="175"/>
      <c r="AT90" s="175"/>
      <c r="AU90" s="175"/>
      <c r="AV90" s="175"/>
      <c r="AW90" s="175"/>
      <c r="AX90" s="175"/>
      <c r="AY90" s="175"/>
      <c r="AZ90" s="175"/>
      <c r="BA90" s="175"/>
      <c r="BB90" s="175"/>
      <c r="BC90" s="175"/>
      <c r="BD90" s="175"/>
      <c r="BE90" s="175"/>
    </row>
    <row r="91" spans="1:57">
      <c r="A91" s="175"/>
      <c r="B91" s="175"/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  <c r="AM91" s="175"/>
      <c r="AN91" s="175"/>
      <c r="AO91" s="175"/>
      <c r="AP91" s="175"/>
      <c r="AQ91" s="175"/>
      <c r="AR91" s="175"/>
      <c r="AS91" s="175"/>
      <c r="AT91" s="175"/>
      <c r="AU91" s="175"/>
      <c r="AV91" s="175"/>
      <c r="AW91" s="175"/>
      <c r="AX91" s="175"/>
      <c r="AY91" s="175"/>
      <c r="AZ91" s="175"/>
      <c r="BA91" s="175"/>
      <c r="BB91" s="175"/>
      <c r="BC91" s="175"/>
      <c r="BD91" s="175"/>
      <c r="BE91" s="175"/>
    </row>
    <row r="92" spans="1:57">
      <c r="A92" s="175"/>
      <c r="B92" s="175"/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  <c r="AM92" s="175"/>
      <c r="AN92" s="175"/>
      <c r="AO92" s="175"/>
      <c r="AP92" s="175"/>
      <c r="AQ92" s="175"/>
      <c r="AR92" s="175"/>
      <c r="AS92" s="175"/>
      <c r="AT92" s="175"/>
      <c r="AU92" s="175"/>
      <c r="AV92" s="175"/>
      <c r="AW92" s="175"/>
      <c r="AX92" s="175"/>
      <c r="AY92" s="175"/>
      <c r="AZ92" s="175"/>
      <c r="BA92" s="175"/>
      <c r="BB92" s="175"/>
      <c r="BC92" s="175"/>
      <c r="BD92" s="175"/>
      <c r="BE92" s="175"/>
    </row>
    <row r="93" spans="1:57">
      <c r="A93" s="175"/>
      <c r="B93" s="181" t="s">
        <v>231</v>
      </c>
      <c r="C93" s="181">
        <v>2</v>
      </c>
      <c r="D93" s="181" t="s">
        <v>60</v>
      </c>
      <c r="E93" s="181" t="s">
        <v>232</v>
      </c>
      <c r="F93" s="181">
        <v>292.66000000000003</v>
      </c>
      <c r="G93" s="181" t="s">
        <v>60</v>
      </c>
      <c r="H93" s="181" t="s">
        <v>211</v>
      </c>
      <c r="I93" s="181" t="s">
        <v>233</v>
      </c>
      <c r="J93" s="182">
        <f>F93/C93</f>
        <v>146.33000000000001</v>
      </c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  <c r="AG93" s="175"/>
      <c r="AH93" s="175"/>
      <c r="AI93" s="175"/>
      <c r="AJ93" s="175"/>
      <c r="AK93" s="175"/>
      <c r="AL93" s="175"/>
      <c r="AM93" s="175"/>
      <c r="AN93" s="175"/>
      <c r="AO93" s="175"/>
      <c r="AP93" s="175"/>
      <c r="AQ93" s="175"/>
      <c r="AR93" s="175"/>
      <c r="AS93" s="175"/>
      <c r="AT93" s="175"/>
      <c r="AU93" s="175"/>
      <c r="AV93" s="175"/>
      <c r="AW93" s="175"/>
      <c r="AX93" s="175"/>
      <c r="AY93" s="175"/>
      <c r="AZ93" s="175"/>
      <c r="BA93" s="175"/>
      <c r="BB93" s="175"/>
      <c r="BC93" s="175"/>
      <c r="BD93" s="175"/>
      <c r="BE93" s="175"/>
    </row>
    <row r="94" spans="1:57">
      <c r="A94" s="175"/>
      <c r="B94" s="175"/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  <c r="AF94" s="175"/>
      <c r="AG94" s="175"/>
      <c r="AH94" s="175"/>
      <c r="AI94" s="175"/>
      <c r="AJ94" s="175"/>
      <c r="AK94" s="175"/>
      <c r="AL94" s="175"/>
      <c r="AM94" s="175"/>
      <c r="AN94" s="175"/>
      <c r="AO94" s="175"/>
      <c r="AP94" s="175"/>
      <c r="AQ94" s="175"/>
      <c r="AR94" s="175"/>
      <c r="AS94" s="175"/>
      <c r="AT94" s="175"/>
      <c r="AU94" s="175"/>
      <c r="AV94" s="175"/>
      <c r="AW94" s="175"/>
      <c r="AX94" s="175"/>
      <c r="AY94" s="175"/>
      <c r="AZ94" s="175"/>
      <c r="BA94" s="175"/>
      <c r="BB94" s="175"/>
      <c r="BC94" s="175"/>
      <c r="BD94" s="175"/>
      <c r="BE94" s="175"/>
    </row>
    <row r="95" spans="1:57">
      <c r="A95" s="175"/>
      <c r="B95" s="175"/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H95" s="175"/>
      <c r="AI95" s="175"/>
      <c r="AJ95" s="175"/>
      <c r="AK95" s="175"/>
      <c r="AL95" s="175"/>
      <c r="AM95" s="175"/>
      <c r="AN95" s="175"/>
      <c r="AO95" s="175"/>
      <c r="AP95" s="175"/>
      <c r="AQ95" s="175"/>
      <c r="AR95" s="175"/>
      <c r="AS95" s="175"/>
      <c r="AT95" s="175"/>
      <c r="AU95" s="175"/>
      <c r="AV95" s="175"/>
      <c r="AW95" s="175"/>
      <c r="AX95" s="175"/>
      <c r="AY95" s="175"/>
      <c r="AZ95" s="175"/>
      <c r="BA95" s="175"/>
      <c r="BB95" s="175"/>
      <c r="BC95" s="175"/>
      <c r="BD95" s="175"/>
      <c r="BE95" s="175"/>
    </row>
    <row r="96" spans="1:57">
      <c r="A96" s="175"/>
      <c r="B96" s="175"/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175"/>
      <c r="AN96" s="175"/>
      <c r="AO96" s="175"/>
      <c r="AP96" s="175"/>
      <c r="AQ96" s="175"/>
      <c r="AR96" s="175"/>
      <c r="AS96" s="175"/>
      <c r="AT96" s="175"/>
      <c r="AU96" s="175"/>
      <c r="AV96" s="175"/>
      <c r="AW96" s="175"/>
      <c r="AX96" s="175"/>
      <c r="AY96" s="175"/>
      <c r="AZ96" s="175"/>
      <c r="BA96" s="175"/>
      <c r="BB96" s="175"/>
      <c r="BC96" s="175"/>
      <c r="BD96" s="175"/>
      <c r="BE96" s="175"/>
    </row>
    <row r="97" spans="1:57">
      <c r="A97" s="175"/>
      <c r="B97" s="175"/>
      <c r="C97" s="175"/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  <c r="AF97" s="175"/>
      <c r="AG97" s="175"/>
      <c r="AH97" s="175"/>
      <c r="AI97" s="175"/>
      <c r="AJ97" s="175"/>
      <c r="AK97" s="175"/>
      <c r="AL97" s="175"/>
      <c r="AM97" s="175"/>
      <c r="AN97" s="175"/>
      <c r="AO97" s="175"/>
      <c r="AP97" s="175"/>
      <c r="AQ97" s="175"/>
      <c r="AR97" s="175"/>
      <c r="AS97" s="175"/>
      <c r="AT97" s="175"/>
      <c r="AU97" s="175"/>
      <c r="AV97" s="175"/>
      <c r="AW97" s="175"/>
      <c r="AX97" s="175"/>
      <c r="AY97" s="175"/>
      <c r="AZ97" s="175"/>
      <c r="BA97" s="175"/>
      <c r="BB97" s="175"/>
      <c r="BC97" s="175"/>
      <c r="BD97" s="175"/>
      <c r="BE97" s="175"/>
    </row>
    <row r="98" spans="1:57">
      <c r="A98" s="175"/>
      <c r="B98" s="175"/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  <c r="AE98" s="175"/>
      <c r="AF98" s="175"/>
      <c r="AG98" s="175"/>
      <c r="AH98" s="175"/>
      <c r="AI98" s="175"/>
      <c r="AJ98" s="175"/>
      <c r="AK98" s="175"/>
      <c r="AL98" s="175"/>
      <c r="AM98" s="175"/>
      <c r="AN98" s="175"/>
      <c r="AO98" s="175"/>
      <c r="AP98" s="175"/>
      <c r="AQ98" s="175"/>
      <c r="AR98" s="175"/>
      <c r="AS98" s="175"/>
      <c r="AT98" s="175"/>
      <c r="AU98" s="175"/>
      <c r="AV98" s="175"/>
      <c r="AW98" s="175"/>
      <c r="AX98" s="175"/>
      <c r="AY98" s="175"/>
      <c r="AZ98" s="175"/>
      <c r="BA98" s="175"/>
      <c r="BB98" s="175"/>
      <c r="BC98" s="175"/>
      <c r="BD98" s="175"/>
      <c r="BE98" s="175"/>
    </row>
    <row r="99" spans="1:57">
      <c r="A99" s="175"/>
      <c r="B99" s="175"/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175"/>
      <c r="AN99" s="175"/>
      <c r="AO99" s="175"/>
      <c r="AP99" s="175"/>
      <c r="AQ99" s="175"/>
      <c r="AR99" s="175"/>
      <c r="AS99" s="175"/>
      <c r="AT99" s="175"/>
      <c r="AU99" s="175"/>
      <c r="AV99" s="175"/>
      <c r="AW99" s="175"/>
      <c r="AX99" s="175"/>
      <c r="AY99" s="175"/>
      <c r="AZ99" s="175"/>
      <c r="BA99" s="175"/>
      <c r="BB99" s="175"/>
      <c r="BC99" s="175"/>
      <c r="BD99" s="175"/>
      <c r="BE99" s="175"/>
    </row>
    <row r="100" spans="1:57">
      <c r="A100" s="175"/>
      <c r="B100" s="175"/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M100" s="175"/>
      <c r="AN100" s="175"/>
      <c r="AO100" s="175"/>
      <c r="AP100" s="175"/>
      <c r="AQ100" s="175"/>
      <c r="AR100" s="175"/>
      <c r="AS100" s="175"/>
      <c r="AT100" s="175"/>
      <c r="AU100" s="175"/>
      <c r="AV100" s="175"/>
      <c r="AW100" s="175"/>
      <c r="AX100" s="175"/>
      <c r="AY100" s="175"/>
      <c r="AZ100" s="175"/>
      <c r="BA100" s="175"/>
      <c r="BB100" s="175"/>
      <c r="BC100" s="175"/>
      <c r="BD100" s="175"/>
      <c r="BE100" s="175"/>
    </row>
  </sheetData>
  <mergeCells count="9">
    <mergeCell ref="B24:R24"/>
    <mergeCell ref="B48:R48"/>
    <mergeCell ref="B72:R72"/>
    <mergeCell ref="T1:AJ1"/>
    <mergeCell ref="AL1:BB1"/>
    <mergeCell ref="T24:AJ24"/>
    <mergeCell ref="AL24:BB24"/>
    <mergeCell ref="T48:AJ48"/>
    <mergeCell ref="AL48:BB4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E100"/>
  <sheetViews>
    <sheetView workbookViewId="0"/>
  </sheetViews>
  <sheetFormatPr defaultRowHeight="15"/>
  <cols>
    <col min="1" max="1" width="2.7109375" customWidth="1"/>
  </cols>
  <sheetData>
    <row r="1" spans="1:57" ht="15.75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249" t="s">
        <v>234</v>
      </c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175"/>
      <c r="AL1" s="249" t="s">
        <v>234</v>
      </c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175"/>
      <c r="BD1" s="175"/>
      <c r="BE1" s="175"/>
    </row>
    <row r="2" spans="1:57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</row>
    <row r="3" spans="1:57">
      <c r="A3" s="175"/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</row>
    <row r="4" spans="1:57">
      <c r="A4" s="175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</row>
    <row r="5" spans="1:57">
      <c r="A5" s="175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</row>
    <row r="6" spans="1:57">
      <c r="A6" s="175"/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</row>
    <row r="7" spans="1:57">
      <c r="A7" s="175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</row>
    <row r="8" spans="1:57">
      <c r="A8" s="175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</row>
    <row r="9" spans="1:57">
      <c r="A9" s="175"/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</row>
    <row r="10" spans="1:57">
      <c r="A10" s="175"/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</row>
    <row r="11" spans="1:57">
      <c r="A11" s="175"/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</row>
    <row r="12" spans="1:57">
      <c r="A12" s="175"/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</row>
    <row r="13" spans="1:57">
      <c r="A13" s="175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</row>
    <row r="14" spans="1:57">
      <c r="A14" s="175"/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</row>
    <row r="15" spans="1:57">
      <c r="A15" s="175"/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</row>
    <row r="16" spans="1:57">
      <c r="A16" s="175"/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</row>
    <row r="17" spans="1:57">
      <c r="A17" s="175"/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</row>
    <row r="18" spans="1:57">
      <c r="A18" s="175"/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5"/>
      <c r="AQ18" s="175"/>
      <c r="AR18" s="175"/>
      <c r="AS18" s="175"/>
      <c r="AT18" s="175"/>
      <c r="AU18" s="175"/>
      <c r="AV18" s="175"/>
      <c r="AW18" s="175"/>
      <c r="AX18" s="175"/>
      <c r="AY18" s="175"/>
      <c r="AZ18" s="175"/>
      <c r="BA18" s="175"/>
      <c r="BB18" s="175"/>
      <c r="BC18" s="175"/>
      <c r="BD18" s="175"/>
      <c r="BE18" s="175"/>
    </row>
    <row r="19" spans="1:57">
      <c r="A19" s="175"/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5"/>
      <c r="AQ19" s="175"/>
      <c r="AR19" s="175"/>
      <c r="AS19" s="175"/>
      <c r="AT19" s="175"/>
      <c r="AU19" s="175"/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</row>
    <row r="20" spans="1:57">
      <c r="A20" s="175"/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5"/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5"/>
      <c r="BB20" s="175"/>
      <c r="BC20" s="175"/>
      <c r="BD20" s="175"/>
      <c r="BE20" s="175"/>
    </row>
    <row r="21" spans="1:57">
      <c r="A21" s="175"/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5"/>
      <c r="AQ21" s="175"/>
      <c r="AR21" s="175"/>
      <c r="AS21" s="175"/>
      <c r="AT21" s="175"/>
      <c r="AU21" s="175"/>
      <c r="AV21" s="175"/>
      <c r="AW21" s="175"/>
      <c r="AX21" s="175"/>
      <c r="AY21" s="175"/>
      <c r="AZ21" s="175"/>
      <c r="BA21" s="175"/>
      <c r="BB21" s="175"/>
      <c r="BC21" s="175"/>
      <c r="BD21" s="175"/>
      <c r="BE21" s="175"/>
    </row>
    <row r="22" spans="1:57">
      <c r="A22" s="175"/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81" t="s">
        <v>237</v>
      </c>
      <c r="U22" s="181"/>
      <c r="V22" s="181"/>
      <c r="W22" s="181"/>
      <c r="X22" s="181" t="s">
        <v>238</v>
      </c>
      <c r="Y22" s="181">
        <v>5</v>
      </c>
      <c r="Z22" s="181" t="s">
        <v>239</v>
      </c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81" t="s">
        <v>242</v>
      </c>
      <c r="AM22" s="181"/>
      <c r="AN22" s="181"/>
      <c r="AO22" s="181"/>
      <c r="AP22" s="181" t="s">
        <v>238</v>
      </c>
      <c r="AQ22" s="181">
        <v>62</v>
      </c>
      <c r="AR22" s="181" t="s">
        <v>243</v>
      </c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175"/>
      <c r="BD22" s="175"/>
      <c r="BE22" s="175"/>
    </row>
    <row r="23" spans="1:57">
      <c r="A23" s="175"/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</row>
    <row r="24" spans="1:57" ht="15.75">
      <c r="A24" s="175"/>
      <c r="B24" s="249" t="s">
        <v>234</v>
      </c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175"/>
      <c r="T24" s="249" t="s">
        <v>235</v>
      </c>
      <c r="U24" s="249"/>
      <c r="V24" s="249"/>
      <c r="W24" s="249"/>
      <c r="X24" s="249"/>
      <c r="Y24" s="249"/>
      <c r="Z24" s="249"/>
      <c r="AA24" s="249"/>
      <c r="AB24" s="249"/>
      <c r="AC24" s="249"/>
      <c r="AD24" s="249"/>
      <c r="AE24" s="249"/>
      <c r="AF24" s="249"/>
      <c r="AG24" s="249"/>
      <c r="AH24" s="249"/>
      <c r="AI24" s="249"/>
      <c r="AJ24" s="249"/>
      <c r="AK24" s="175"/>
      <c r="AL24" s="249" t="s">
        <v>235</v>
      </c>
      <c r="AM24" s="249"/>
      <c r="AN24" s="249"/>
      <c r="AO24" s="249"/>
      <c r="AP24" s="249"/>
      <c r="AQ24" s="249"/>
      <c r="AR24" s="249"/>
      <c r="AS24" s="249"/>
      <c r="AT24" s="249"/>
      <c r="AU24" s="249"/>
      <c r="AV24" s="249"/>
      <c r="AW24" s="249"/>
      <c r="AX24" s="249"/>
      <c r="AY24" s="249"/>
      <c r="AZ24" s="249"/>
      <c r="BA24" s="249"/>
      <c r="BB24" s="249"/>
      <c r="BC24" s="175"/>
      <c r="BD24" s="175"/>
      <c r="BE24" s="175"/>
    </row>
    <row r="25" spans="1:57">
      <c r="A25" s="175"/>
      <c r="B25" s="175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</row>
    <row r="26" spans="1:57">
      <c r="A26" s="175"/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</row>
    <row r="27" spans="1:57">
      <c r="A27" s="175"/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</row>
    <row r="28" spans="1:57">
      <c r="A28" s="175"/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</row>
    <row r="29" spans="1:57">
      <c r="A29" s="175"/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</row>
    <row r="30" spans="1:57">
      <c r="A30" s="175"/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</row>
    <row r="31" spans="1:57">
      <c r="A31" s="175"/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</row>
    <row r="32" spans="1:57">
      <c r="A32" s="175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</row>
    <row r="33" spans="1:57">
      <c r="A33" s="175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</row>
    <row r="34" spans="1:57">
      <c r="A34" s="175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5"/>
      <c r="AO34" s="175"/>
      <c r="AP34" s="175"/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5"/>
      <c r="BB34" s="175"/>
      <c r="BC34" s="175"/>
      <c r="BD34" s="175"/>
      <c r="BE34" s="175"/>
    </row>
    <row r="35" spans="1:57">
      <c r="A35" s="175"/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</row>
    <row r="36" spans="1:57">
      <c r="A36" s="175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5"/>
      <c r="BE36" s="175"/>
    </row>
    <row r="37" spans="1:57">
      <c r="A37" s="175"/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</row>
    <row r="38" spans="1:57">
      <c r="A38" s="175"/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</row>
    <row r="39" spans="1:57">
      <c r="A39" s="175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</row>
    <row r="40" spans="1:57">
      <c r="A40" s="175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</row>
    <row r="41" spans="1:57">
      <c r="A41" s="175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</row>
    <row r="42" spans="1:57">
      <c r="A42" s="175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</row>
    <row r="43" spans="1:57">
      <c r="A43" s="175"/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</row>
    <row r="44" spans="1:57">
      <c r="A44" s="175"/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</row>
    <row r="45" spans="1:57">
      <c r="A45" s="175"/>
      <c r="B45" s="181" t="s">
        <v>231</v>
      </c>
      <c r="C45" s="181">
        <v>2</v>
      </c>
      <c r="D45" s="181" t="s">
        <v>60</v>
      </c>
      <c r="E45" s="181" t="s">
        <v>232</v>
      </c>
      <c r="F45" s="181">
        <v>5.8128000000000002</v>
      </c>
      <c r="G45" s="181" t="s">
        <v>60</v>
      </c>
      <c r="H45" s="181" t="s">
        <v>211</v>
      </c>
      <c r="I45" s="181" t="s">
        <v>233</v>
      </c>
      <c r="J45" s="182">
        <f>F45/C45</f>
        <v>2.9064000000000001</v>
      </c>
      <c r="K45" s="175"/>
      <c r="L45" s="175"/>
      <c r="M45" s="175"/>
      <c r="N45" s="175"/>
      <c r="O45" s="175"/>
      <c r="P45" s="175"/>
      <c r="Q45" s="175"/>
      <c r="R45" s="175"/>
      <c r="S45" s="175"/>
      <c r="T45" s="181" t="s">
        <v>240</v>
      </c>
      <c r="U45" s="181"/>
      <c r="V45" s="181"/>
      <c r="W45" s="181"/>
      <c r="X45" s="181" t="s">
        <v>238</v>
      </c>
      <c r="Y45" s="181">
        <v>8</v>
      </c>
      <c r="Z45" s="181" t="s">
        <v>239</v>
      </c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81" t="s">
        <v>244</v>
      </c>
      <c r="AM45" s="181"/>
      <c r="AN45" s="181"/>
      <c r="AO45" s="181"/>
      <c r="AP45" s="181" t="s">
        <v>238</v>
      </c>
      <c r="AQ45" s="181">
        <v>80</v>
      </c>
      <c r="AR45" s="181" t="s">
        <v>243</v>
      </c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</row>
    <row r="46" spans="1:57">
      <c r="A46" s="175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</row>
    <row r="47" spans="1:57">
      <c r="A47" s="175"/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</row>
    <row r="48" spans="1:57" ht="15.75">
      <c r="A48" s="175"/>
      <c r="B48" s="249" t="s">
        <v>235</v>
      </c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  <c r="R48" s="249"/>
      <c r="S48" s="175"/>
      <c r="T48" s="249" t="s">
        <v>236</v>
      </c>
      <c r="U48" s="249"/>
      <c r="V48" s="249"/>
      <c r="W48" s="249"/>
      <c r="X48" s="249"/>
      <c r="Y48" s="249"/>
      <c r="Z48" s="249"/>
      <c r="AA48" s="249"/>
      <c r="AB48" s="249"/>
      <c r="AC48" s="249"/>
      <c r="AD48" s="249"/>
      <c r="AE48" s="249"/>
      <c r="AF48" s="249"/>
      <c r="AG48" s="249"/>
      <c r="AH48" s="249"/>
      <c r="AI48" s="249"/>
      <c r="AJ48" s="249"/>
      <c r="AK48" s="175"/>
      <c r="AL48" s="249" t="s">
        <v>236</v>
      </c>
      <c r="AM48" s="249"/>
      <c r="AN48" s="249"/>
      <c r="AO48" s="249"/>
      <c r="AP48" s="249"/>
      <c r="AQ48" s="249"/>
      <c r="AR48" s="249"/>
      <c r="AS48" s="249"/>
      <c r="AT48" s="249"/>
      <c r="AU48" s="249"/>
      <c r="AV48" s="249"/>
      <c r="AW48" s="249"/>
      <c r="AX48" s="249"/>
      <c r="AY48" s="249"/>
      <c r="AZ48" s="249"/>
      <c r="BA48" s="249"/>
      <c r="BB48" s="249"/>
      <c r="BC48" s="175"/>
      <c r="BD48" s="175"/>
      <c r="BE48" s="175"/>
    </row>
    <row r="49" spans="1:57">
      <c r="A49" s="175"/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</row>
    <row r="50" spans="1:57">
      <c r="A50" s="175"/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</row>
    <row r="51" spans="1:57">
      <c r="A51" s="175"/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75"/>
      <c r="BC51" s="175"/>
      <c r="BD51" s="175"/>
      <c r="BE51" s="175"/>
    </row>
    <row r="52" spans="1:57">
      <c r="A52" s="175"/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</row>
    <row r="53" spans="1:5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</row>
    <row r="54" spans="1:57">
      <c r="A54" s="175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</row>
    <row r="55" spans="1:57">
      <c r="A55" s="175"/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  <c r="AZ55" s="175"/>
      <c r="BA55" s="175"/>
      <c r="BB55" s="175"/>
      <c r="BC55" s="175"/>
      <c r="BD55" s="175"/>
      <c r="BE55" s="175"/>
    </row>
    <row r="56" spans="1:57">
      <c r="A56" s="175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</row>
    <row r="57" spans="1:57">
      <c r="A57" s="175"/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</row>
    <row r="58" spans="1:57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</row>
    <row r="59" spans="1:57">
      <c r="A59" s="175"/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  <c r="AM59" s="175"/>
      <c r="AN59" s="175"/>
      <c r="AO59" s="175"/>
      <c r="AP59" s="175"/>
      <c r="AQ59" s="175"/>
      <c r="AR59" s="175"/>
      <c r="AS59" s="175"/>
      <c r="AT59" s="175"/>
      <c r="AU59" s="175"/>
      <c r="AV59" s="175"/>
      <c r="AW59" s="175"/>
      <c r="AX59" s="175"/>
      <c r="AY59" s="175"/>
      <c r="AZ59" s="175"/>
      <c r="BA59" s="175"/>
      <c r="BB59" s="175"/>
      <c r="BC59" s="175"/>
      <c r="BD59" s="175"/>
      <c r="BE59" s="175"/>
    </row>
    <row r="60" spans="1:57">
      <c r="A60" s="175"/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5"/>
      <c r="AM60" s="175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</row>
    <row r="61" spans="1:57">
      <c r="A61" s="175"/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  <c r="AM61" s="175"/>
      <c r="AN61" s="175"/>
      <c r="AO61" s="175"/>
      <c r="AP61" s="175"/>
      <c r="AQ61" s="175"/>
      <c r="AR61" s="175"/>
      <c r="AS61" s="175"/>
      <c r="AT61" s="175"/>
      <c r="AU61" s="175"/>
      <c r="AV61" s="175"/>
      <c r="AW61" s="175"/>
      <c r="AX61" s="175"/>
      <c r="AY61" s="175"/>
      <c r="AZ61" s="175"/>
      <c r="BA61" s="175"/>
      <c r="BB61" s="175"/>
      <c r="BC61" s="175"/>
      <c r="BD61" s="175"/>
      <c r="BE61" s="175"/>
    </row>
    <row r="62" spans="1:57">
      <c r="A62" s="175"/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5"/>
      <c r="AQ62" s="175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</row>
    <row r="63" spans="1:57">
      <c r="A63" s="175"/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  <c r="AM63" s="175"/>
      <c r="AN63" s="175"/>
      <c r="AO63" s="175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  <c r="AZ63" s="175"/>
      <c r="BA63" s="175"/>
      <c r="BB63" s="175"/>
      <c r="BC63" s="175"/>
      <c r="BD63" s="175"/>
      <c r="BE63" s="175"/>
    </row>
    <row r="64" spans="1:57">
      <c r="A64" s="175"/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  <c r="AM64" s="175"/>
      <c r="AN64" s="175"/>
      <c r="AO64" s="175"/>
      <c r="AP64" s="175"/>
      <c r="AQ64" s="175"/>
      <c r="AR64" s="175"/>
      <c r="AS64" s="175"/>
      <c r="AT64" s="175"/>
      <c r="AU64" s="175"/>
      <c r="AV64" s="175"/>
      <c r="AW64" s="175"/>
      <c r="AX64" s="175"/>
      <c r="AY64" s="175"/>
      <c r="AZ64" s="175"/>
      <c r="BA64" s="175"/>
      <c r="BB64" s="175"/>
      <c r="BC64" s="175"/>
      <c r="BD64" s="175"/>
      <c r="BE64" s="175"/>
    </row>
    <row r="65" spans="1:57">
      <c r="A65" s="175"/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5"/>
      <c r="AM65" s="175"/>
      <c r="AN65" s="175"/>
      <c r="AO65" s="175"/>
      <c r="AP65" s="175"/>
      <c r="AQ65" s="175"/>
      <c r="AR65" s="175"/>
      <c r="AS65" s="175"/>
      <c r="AT65" s="175"/>
      <c r="AU65" s="175"/>
      <c r="AV65" s="175"/>
      <c r="AW65" s="175"/>
      <c r="AX65" s="175"/>
      <c r="AY65" s="175"/>
      <c r="AZ65" s="175"/>
      <c r="BA65" s="175"/>
      <c r="BB65" s="175"/>
      <c r="BC65" s="175"/>
      <c r="BD65" s="175"/>
      <c r="BE65" s="175"/>
    </row>
    <row r="66" spans="1:57">
      <c r="A66" s="175"/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  <c r="AM66" s="175"/>
      <c r="AN66" s="175"/>
      <c r="AO66" s="175"/>
      <c r="AP66" s="175"/>
      <c r="AQ66" s="175"/>
      <c r="AR66" s="175"/>
      <c r="AS66" s="175"/>
      <c r="AT66" s="175"/>
      <c r="AU66" s="175"/>
      <c r="AV66" s="175"/>
      <c r="AW66" s="175"/>
      <c r="AX66" s="175"/>
      <c r="AY66" s="175"/>
      <c r="AZ66" s="175"/>
      <c r="BA66" s="175"/>
      <c r="BB66" s="175"/>
      <c r="BC66" s="175"/>
      <c r="BD66" s="175"/>
      <c r="BE66" s="175"/>
    </row>
    <row r="67" spans="1:57">
      <c r="A67" s="175"/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5"/>
      <c r="AM67" s="175"/>
      <c r="AN67" s="175"/>
      <c r="AO67" s="175"/>
      <c r="AP67" s="175"/>
      <c r="AQ67" s="175"/>
      <c r="AR67" s="175"/>
      <c r="AS67" s="175"/>
      <c r="AT67" s="175"/>
      <c r="AU67" s="175"/>
      <c r="AV67" s="175"/>
      <c r="AW67" s="175"/>
      <c r="AX67" s="175"/>
      <c r="AY67" s="175"/>
      <c r="AZ67" s="175"/>
      <c r="BA67" s="175"/>
      <c r="BB67" s="175"/>
      <c r="BC67" s="175"/>
      <c r="BD67" s="175"/>
      <c r="BE67" s="175"/>
    </row>
    <row r="68" spans="1:57">
      <c r="A68" s="175"/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5"/>
      <c r="AQ68" s="175"/>
      <c r="AR68" s="175"/>
      <c r="AS68" s="175"/>
      <c r="AT68" s="175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</row>
    <row r="69" spans="1:57">
      <c r="A69" s="175"/>
      <c r="B69" s="181" t="s">
        <v>231</v>
      </c>
      <c r="C69" s="181">
        <v>2</v>
      </c>
      <c r="D69" s="181" t="s">
        <v>60</v>
      </c>
      <c r="E69" s="181" t="s">
        <v>232</v>
      </c>
      <c r="F69" s="181">
        <v>5.2676999999999996</v>
      </c>
      <c r="G69" s="181" t="s">
        <v>60</v>
      </c>
      <c r="H69" s="181" t="s">
        <v>211</v>
      </c>
      <c r="I69" s="181" t="s">
        <v>233</v>
      </c>
      <c r="J69" s="182">
        <f>F69/C69</f>
        <v>2.6338499999999998</v>
      </c>
      <c r="K69" s="175"/>
      <c r="L69" s="175"/>
      <c r="M69" s="175"/>
      <c r="N69" s="175"/>
      <c r="O69" s="175"/>
      <c r="P69" s="175"/>
      <c r="Q69" s="175"/>
      <c r="R69" s="175"/>
      <c r="S69" s="175"/>
      <c r="T69" s="181" t="s">
        <v>241</v>
      </c>
      <c r="U69" s="181"/>
      <c r="V69" s="181"/>
      <c r="W69" s="181"/>
      <c r="X69" s="181" t="s">
        <v>238</v>
      </c>
      <c r="Y69" s="181">
        <v>45</v>
      </c>
      <c r="Z69" s="181" t="s">
        <v>239</v>
      </c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81" t="s">
        <v>245</v>
      </c>
      <c r="AM69" s="181"/>
      <c r="AN69" s="181"/>
      <c r="AO69" s="181"/>
      <c r="AP69" s="181" t="s">
        <v>238</v>
      </c>
      <c r="AQ69" s="181">
        <v>42</v>
      </c>
      <c r="AR69" s="181" t="s">
        <v>243</v>
      </c>
      <c r="AS69" s="175"/>
      <c r="AT69" s="175"/>
      <c r="AU69" s="175"/>
      <c r="AV69" s="175"/>
      <c r="AW69" s="175"/>
      <c r="AX69" s="175"/>
      <c r="AY69" s="175"/>
      <c r="AZ69" s="175"/>
      <c r="BA69" s="175"/>
      <c r="BB69" s="175"/>
      <c r="BC69" s="175"/>
      <c r="BD69" s="175"/>
      <c r="BE69" s="175"/>
    </row>
    <row r="70" spans="1:57">
      <c r="A70" s="175"/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5"/>
      <c r="AM70" s="175"/>
      <c r="AN70" s="175"/>
      <c r="AO70" s="175"/>
      <c r="AP70" s="175"/>
      <c r="AQ70" s="175"/>
      <c r="AR70" s="175"/>
      <c r="AS70" s="175"/>
      <c r="AT70" s="175"/>
      <c r="AU70" s="175"/>
      <c r="AV70" s="175"/>
      <c r="AW70" s="175"/>
      <c r="AX70" s="175"/>
      <c r="AY70" s="175"/>
      <c r="AZ70" s="175"/>
      <c r="BA70" s="175"/>
      <c r="BB70" s="175"/>
      <c r="BC70" s="175"/>
      <c r="BD70" s="175"/>
      <c r="BE70" s="175"/>
    </row>
    <row r="71" spans="1:57">
      <c r="A71" s="175"/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5"/>
      <c r="AM71" s="175"/>
      <c r="AN71" s="175"/>
      <c r="AO71" s="175"/>
      <c r="AP71" s="175"/>
      <c r="AQ71" s="175"/>
      <c r="AR71" s="175"/>
      <c r="AS71" s="175"/>
      <c r="AT71" s="175"/>
      <c r="AU71" s="175"/>
      <c r="AV71" s="175"/>
      <c r="AW71" s="175"/>
      <c r="AX71" s="175"/>
      <c r="AY71" s="175"/>
      <c r="AZ71" s="175"/>
      <c r="BA71" s="175"/>
      <c r="BB71" s="175"/>
      <c r="BC71" s="175"/>
      <c r="BD71" s="175"/>
      <c r="BE71" s="175"/>
    </row>
    <row r="72" spans="1:57" ht="15.75">
      <c r="A72" s="175"/>
      <c r="B72" s="249" t="s">
        <v>236</v>
      </c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  <c r="R72" s="249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5"/>
      <c r="AM72" s="175"/>
      <c r="AN72" s="175"/>
      <c r="AO72" s="175"/>
      <c r="AP72" s="175"/>
      <c r="AQ72" s="175"/>
      <c r="AR72" s="175"/>
      <c r="AS72" s="175"/>
      <c r="AT72" s="175"/>
      <c r="AU72" s="175"/>
      <c r="AV72" s="175"/>
      <c r="AW72" s="175"/>
      <c r="AX72" s="175"/>
      <c r="AY72" s="175"/>
      <c r="AZ72" s="175"/>
      <c r="BA72" s="175"/>
      <c r="BB72" s="175"/>
      <c r="BC72" s="175"/>
      <c r="BD72" s="175"/>
      <c r="BE72" s="175"/>
    </row>
    <row r="73" spans="1:57">
      <c r="A73" s="175"/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5"/>
      <c r="AM73" s="175"/>
      <c r="AN73" s="175"/>
      <c r="AO73" s="175"/>
      <c r="AP73" s="175"/>
      <c r="AQ73" s="175"/>
      <c r="AR73" s="175"/>
      <c r="AS73" s="175"/>
      <c r="AT73" s="175"/>
      <c r="AU73" s="175"/>
      <c r="AV73" s="175"/>
      <c r="AW73" s="175"/>
      <c r="AX73" s="175"/>
      <c r="AY73" s="175"/>
      <c r="AZ73" s="175"/>
      <c r="BA73" s="175"/>
      <c r="BB73" s="175"/>
      <c r="BC73" s="175"/>
      <c r="BD73" s="175"/>
      <c r="BE73" s="175"/>
    </row>
    <row r="74" spans="1:57">
      <c r="A74" s="175"/>
      <c r="B74" s="175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5"/>
      <c r="AM74" s="175"/>
      <c r="AN74" s="175"/>
      <c r="AO74" s="175"/>
      <c r="AP74" s="175"/>
      <c r="AQ74" s="175"/>
      <c r="AR74" s="175"/>
      <c r="AS74" s="175"/>
      <c r="AT74" s="175"/>
      <c r="AU74" s="175"/>
      <c r="AV74" s="175"/>
      <c r="AW74" s="175"/>
      <c r="AX74" s="175"/>
      <c r="AY74" s="175"/>
      <c r="AZ74" s="175"/>
      <c r="BA74" s="175"/>
      <c r="BB74" s="175"/>
      <c r="BC74" s="175"/>
      <c r="BD74" s="175"/>
      <c r="BE74" s="175"/>
    </row>
    <row r="75" spans="1:57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5"/>
      <c r="AM75" s="175"/>
      <c r="AN75" s="175"/>
      <c r="AO75" s="175"/>
      <c r="AP75" s="175"/>
      <c r="AQ75" s="175"/>
      <c r="AR75" s="175"/>
      <c r="AS75" s="175"/>
      <c r="AT75" s="175"/>
      <c r="AU75" s="175"/>
      <c r="AV75" s="175"/>
      <c r="AW75" s="175"/>
      <c r="AX75" s="175"/>
      <c r="AY75" s="175"/>
      <c r="AZ75" s="175"/>
      <c r="BA75" s="175"/>
      <c r="BB75" s="175"/>
      <c r="BC75" s="175"/>
      <c r="BD75" s="175"/>
      <c r="BE75" s="175"/>
    </row>
    <row r="76" spans="1:57">
      <c r="A76" s="175"/>
      <c r="B76" s="175"/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H76" s="175"/>
      <c r="AI76" s="175"/>
      <c r="AJ76" s="175"/>
      <c r="AK76" s="175"/>
      <c r="AL76" s="175"/>
      <c r="AM76" s="175"/>
      <c r="AN76" s="175"/>
      <c r="AO76" s="175"/>
      <c r="AP76" s="175"/>
      <c r="AQ76" s="175"/>
      <c r="AR76" s="175"/>
      <c r="AS76" s="175"/>
      <c r="AT76" s="175"/>
      <c r="AU76" s="175"/>
      <c r="AV76" s="175"/>
      <c r="AW76" s="175"/>
      <c r="AX76" s="175"/>
      <c r="AY76" s="175"/>
      <c r="AZ76" s="175"/>
      <c r="BA76" s="175"/>
      <c r="BB76" s="175"/>
      <c r="BC76" s="175"/>
      <c r="BD76" s="175"/>
      <c r="BE76" s="175"/>
    </row>
    <row r="77" spans="1:57">
      <c r="A77" s="175"/>
      <c r="B77" s="175"/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  <c r="AI77" s="175"/>
      <c r="AJ77" s="175"/>
      <c r="AK77" s="175"/>
      <c r="AL77" s="175"/>
      <c r="AM77" s="175"/>
      <c r="AN77" s="175"/>
      <c r="AO77" s="175"/>
      <c r="AP77" s="175"/>
      <c r="AQ77" s="175"/>
      <c r="AR77" s="175"/>
      <c r="AS77" s="175"/>
      <c r="AT77" s="175"/>
      <c r="AU77" s="175"/>
      <c r="AV77" s="175"/>
      <c r="AW77" s="175"/>
      <c r="AX77" s="175"/>
      <c r="AY77" s="175"/>
      <c r="AZ77" s="175"/>
      <c r="BA77" s="175"/>
      <c r="BB77" s="175"/>
      <c r="BC77" s="175"/>
      <c r="BD77" s="175"/>
      <c r="BE77" s="175"/>
    </row>
    <row r="78" spans="1:57">
      <c r="A78" s="175"/>
      <c r="B78" s="175"/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H78" s="175"/>
      <c r="AI78" s="175"/>
      <c r="AJ78" s="175"/>
      <c r="AK78" s="175"/>
      <c r="AL78" s="175"/>
      <c r="AM78" s="175"/>
      <c r="AN78" s="175"/>
      <c r="AO78" s="175"/>
      <c r="AP78" s="175"/>
      <c r="AQ78" s="175"/>
      <c r="AR78" s="175"/>
      <c r="AS78" s="175"/>
      <c r="AT78" s="175"/>
      <c r="AU78" s="175"/>
      <c r="AV78" s="175"/>
      <c r="AW78" s="175"/>
      <c r="AX78" s="175"/>
      <c r="AY78" s="175"/>
      <c r="AZ78" s="175"/>
      <c r="BA78" s="175"/>
      <c r="BB78" s="175"/>
      <c r="BC78" s="175"/>
      <c r="BD78" s="175"/>
      <c r="BE78" s="175"/>
    </row>
    <row r="79" spans="1:57">
      <c r="A79" s="175"/>
      <c r="B79" s="175"/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  <c r="AM79" s="175"/>
      <c r="AN79" s="175"/>
      <c r="AO79" s="175"/>
      <c r="AP79" s="175"/>
      <c r="AQ79" s="175"/>
      <c r="AR79" s="175"/>
      <c r="AS79" s="175"/>
      <c r="AT79" s="175"/>
      <c r="AU79" s="175"/>
      <c r="AV79" s="175"/>
      <c r="AW79" s="175"/>
      <c r="AX79" s="175"/>
      <c r="AY79" s="175"/>
      <c r="AZ79" s="175"/>
      <c r="BA79" s="175"/>
      <c r="BB79" s="175"/>
      <c r="BC79" s="175"/>
      <c r="BD79" s="175"/>
      <c r="BE79" s="175"/>
    </row>
    <row r="80" spans="1:57">
      <c r="A80" s="175"/>
      <c r="B80" s="175"/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175"/>
      <c r="AN80" s="175"/>
      <c r="AO80" s="175"/>
      <c r="AP80" s="175"/>
      <c r="AQ80" s="175"/>
      <c r="AR80" s="175"/>
      <c r="AS80" s="175"/>
      <c r="AT80" s="175"/>
      <c r="AU80" s="175"/>
      <c r="AV80" s="175"/>
      <c r="AW80" s="175"/>
      <c r="AX80" s="175"/>
      <c r="AY80" s="175"/>
      <c r="AZ80" s="175"/>
      <c r="BA80" s="175"/>
      <c r="BB80" s="175"/>
      <c r="BC80" s="175"/>
      <c r="BD80" s="175"/>
      <c r="BE80" s="175"/>
    </row>
    <row r="81" spans="1:57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  <c r="AM81" s="175"/>
      <c r="AN81" s="175"/>
      <c r="AO81" s="175"/>
      <c r="AP81" s="175"/>
      <c r="AQ81" s="175"/>
      <c r="AR81" s="175"/>
      <c r="AS81" s="175"/>
      <c r="AT81" s="175"/>
      <c r="AU81" s="175"/>
      <c r="AV81" s="175"/>
      <c r="AW81" s="175"/>
      <c r="AX81" s="175"/>
      <c r="AY81" s="175"/>
      <c r="AZ81" s="175"/>
      <c r="BA81" s="175"/>
      <c r="BB81" s="175"/>
      <c r="BC81" s="175"/>
      <c r="BD81" s="175"/>
      <c r="BE81" s="175"/>
    </row>
    <row r="82" spans="1:57">
      <c r="A82" s="175"/>
      <c r="B82" s="175"/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H82" s="175"/>
      <c r="AI82" s="175"/>
      <c r="AJ82" s="175"/>
      <c r="AK82" s="175"/>
      <c r="AL82" s="175"/>
      <c r="AM82" s="175"/>
      <c r="AN82" s="175"/>
      <c r="AO82" s="175"/>
      <c r="AP82" s="175"/>
      <c r="AQ82" s="175"/>
      <c r="AR82" s="175"/>
      <c r="AS82" s="175"/>
      <c r="AT82" s="175"/>
      <c r="AU82" s="175"/>
      <c r="AV82" s="175"/>
      <c r="AW82" s="175"/>
      <c r="AX82" s="175"/>
      <c r="AY82" s="175"/>
      <c r="AZ82" s="175"/>
      <c r="BA82" s="175"/>
      <c r="BB82" s="175"/>
      <c r="BC82" s="175"/>
      <c r="BD82" s="175"/>
      <c r="BE82" s="175"/>
    </row>
    <row r="83" spans="1:57">
      <c r="A83" s="175"/>
      <c r="B83" s="175"/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  <c r="AM83" s="175"/>
      <c r="AN83" s="175"/>
      <c r="AO83" s="175"/>
      <c r="AP83" s="175"/>
      <c r="AQ83" s="175"/>
      <c r="AR83" s="175"/>
      <c r="AS83" s="175"/>
      <c r="AT83" s="175"/>
      <c r="AU83" s="175"/>
      <c r="AV83" s="175"/>
      <c r="AW83" s="175"/>
      <c r="AX83" s="175"/>
      <c r="AY83" s="175"/>
      <c r="AZ83" s="175"/>
      <c r="BA83" s="175"/>
      <c r="BB83" s="175"/>
      <c r="BC83" s="175"/>
      <c r="BD83" s="175"/>
      <c r="BE83" s="175"/>
    </row>
    <row r="84" spans="1:57">
      <c r="A84" s="175"/>
      <c r="B84" s="175"/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175"/>
      <c r="AL84" s="175"/>
      <c r="AM84" s="175"/>
      <c r="AN84" s="175"/>
      <c r="AO84" s="175"/>
      <c r="AP84" s="175"/>
      <c r="AQ84" s="175"/>
      <c r="AR84" s="175"/>
      <c r="AS84" s="175"/>
      <c r="AT84" s="175"/>
      <c r="AU84" s="175"/>
      <c r="AV84" s="175"/>
      <c r="AW84" s="175"/>
      <c r="AX84" s="175"/>
      <c r="AY84" s="175"/>
      <c r="AZ84" s="175"/>
      <c r="BA84" s="175"/>
      <c r="BB84" s="175"/>
      <c r="BC84" s="175"/>
      <c r="BD84" s="175"/>
      <c r="BE84" s="175"/>
    </row>
    <row r="85" spans="1:57">
      <c r="A85" s="175"/>
      <c r="B85" s="175"/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H85" s="175"/>
      <c r="AI85" s="175"/>
      <c r="AJ85" s="175"/>
      <c r="AK85" s="175"/>
      <c r="AL85" s="175"/>
      <c r="AM85" s="175"/>
      <c r="AN85" s="175"/>
      <c r="AO85" s="175"/>
      <c r="AP85" s="175"/>
      <c r="AQ85" s="175"/>
      <c r="AR85" s="175"/>
      <c r="AS85" s="175"/>
      <c r="AT85" s="175"/>
      <c r="AU85" s="175"/>
      <c r="AV85" s="175"/>
      <c r="AW85" s="175"/>
      <c r="AX85" s="175"/>
      <c r="AY85" s="175"/>
      <c r="AZ85" s="175"/>
      <c r="BA85" s="175"/>
      <c r="BB85" s="175"/>
      <c r="BC85" s="175"/>
      <c r="BD85" s="175"/>
      <c r="BE85" s="175"/>
    </row>
    <row r="86" spans="1:57">
      <c r="A86" s="175"/>
      <c r="B86" s="175"/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5"/>
      <c r="AM86" s="175"/>
      <c r="AN86" s="175"/>
      <c r="AO86" s="175"/>
      <c r="AP86" s="175"/>
      <c r="AQ86" s="175"/>
      <c r="AR86" s="175"/>
      <c r="AS86" s="175"/>
      <c r="AT86" s="175"/>
      <c r="AU86" s="175"/>
      <c r="AV86" s="175"/>
      <c r="AW86" s="175"/>
      <c r="AX86" s="175"/>
      <c r="AY86" s="175"/>
      <c r="AZ86" s="175"/>
      <c r="BA86" s="175"/>
      <c r="BB86" s="175"/>
      <c r="BC86" s="175"/>
      <c r="BD86" s="175"/>
      <c r="BE86" s="175"/>
    </row>
    <row r="87" spans="1:57">
      <c r="A87" s="175"/>
      <c r="B87" s="175"/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  <c r="AM87" s="175"/>
      <c r="AN87" s="175"/>
      <c r="AO87" s="175"/>
      <c r="AP87" s="175"/>
      <c r="AQ87" s="175"/>
      <c r="AR87" s="175"/>
      <c r="AS87" s="175"/>
      <c r="AT87" s="175"/>
      <c r="AU87" s="175"/>
      <c r="AV87" s="175"/>
      <c r="AW87" s="175"/>
      <c r="AX87" s="175"/>
      <c r="AY87" s="175"/>
      <c r="AZ87" s="175"/>
      <c r="BA87" s="175"/>
      <c r="BB87" s="175"/>
      <c r="BC87" s="175"/>
      <c r="BD87" s="175"/>
      <c r="BE87" s="175"/>
    </row>
    <row r="88" spans="1:57">
      <c r="A88" s="175"/>
      <c r="B88" s="175"/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  <c r="AM88" s="175"/>
      <c r="AN88" s="175"/>
      <c r="AO88" s="175"/>
      <c r="AP88" s="175"/>
      <c r="AQ88" s="175"/>
      <c r="AR88" s="175"/>
      <c r="AS88" s="175"/>
      <c r="AT88" s="175"/>
      <c r="AU88" s="175"/>
      <c r="AV88" s="175"/>
      <c r="AW88" s="175"/>
      <c r="AX88" s="175"/>
      <c r="AY88" s="175"/>
      <c r="AZ88" s="175"/>
      <c r="BA88" s="175"/>
      <c r="BB88" s="175"/>
      <c r="BC88" s="175"/>
      <c r="BD88" s="175"/>
      <c r="BE88" s="175"/>
    </row>
    <row r="89" spans="1:57">
      <c r="A89" s="175"/>
      <c r="B89" s="175"/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  <c r="AG89" s="175"/>
      <c r="AH89" s="175"/>
      <c r="AI89" s="175"/>
      <c r="AJ89" s="175"/>
      <c r="AK89" s="175"/>
      <c r="AL89" s="175"/>
      <c r="AM89" s="175"/>
      <c r="AN89" s="175"/>
      <c r="AO89" s="175"/>
      <c r="AP89" s="175"/>
      <c r="AQ89" s="175"/>
      <c r="AR89" s="175"/>
      <c r="AS89" s="175"/>
      <c r="AT89" s="175"/>
      <c r="AU89" s="175"/>
      <c r="AV89" s="175"/>
      <c r="AW89" s="175"/>
      <c r="AX89" s="175"/>
      <c r="AY89" s="175"/>
      <c r="AZ89" s="175"/>
      <c r="BA89" s="175"/>
      <c r="BB89" s="175"/>
      <c r="BC89" s="175"/>
      <c r="BD89" s="175"/>
      <c r="BE89" s="175"/>
    </row>
    <row r="90" spans="1:57">
      <c r="A90" s="175"/>
      <c r="B90" s="175"/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5"/>
      <c r="AK90" s="175"/>
      <c r="AL90" s="175"/>
      <c r="AM90" s="175"/>
      <c r="AN90" s="175"/>
      <c r="AO90" s="175"/>
      <c r="AP90" s="175"/>
      <c r="AQ90" s="175"/>
      <c r="AR90" s="175"/>
      <c r="AS90" s="175"/>
      <c r="AT90" s="175"/>
      <c r="AU90" s="175"/>
      <c r="AV90" s="175"/>
      <c r="AW90" s="175"/>
      <c r="AX90" s="175"/>
      <c r="AY90" s="175"/>
      <c r="AZ90" s="175"/>
      <c r="BA90" s="175"/>
      <c r="BB90" s="175"/>
      <c r="BC90" s="175"/>
      <c r="BD90" s="175"/>
      <c r="BE90" s="175"/>
    </row>
    <row r="91" spans="1:57">
      <c r="A91" s="175"/>
      <c r="B91" s="175"/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  <c r="AM91" s="175"/>
      <c r="AN91" s="175"/>
      <c r="AO91" s="175"/>
      <c r="AP91" s="175"/>
      <c r="AQ91" s="175"/>
      <c r="AR91" s="175"/>
      <c r="AS91" s="175"/>
      <c r="AT91" s="175"/>
      <c r="AU91" s="175"/>
      <c r="AV91" s="175"/>
      <c r="AW91" s="175"/>
      <c r="AX91" s="175"/>
      <c r="AY91" s="175"/>
      <c r="AZ91" s="175"/>
      <c r="BA91" s="175"/>
      <c r="BB91" s="175"/>
      <c r="BC91" s="175"/>
      <c r="BD91" s="175"/>
      <c r="BE91" s="175"/>
    </row>
    <row r="92" spans="1:57">
      <c r="A92" s="175"/>
      <c r="B92" s="175"/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  <c r="AM92" s="175"/>
      <c r="AN92" s="175"/>
      <c r="AO92" s="175"/>
      <c r="AP92" s="175"/>
      <c r="AQ92" s="175"/>
      <c r="AR92" s="175"/>
      <c r="AS92" s="175"/>
      <c r="AT92" s="175"/>
      <c r="AU92" s="175"/>
      <c r="AV92" s="175"/>
      <c r="AW92" s="175"/>
      <c r="AX92" s="175"/>
      <c r="AY92" s="175"/>
      <c r="AZ92" s="175"/>
      <c r="BA92" s="175"/>
      <c r="BB92" s="175"/>
      <c r="BC92" s="175"/>
      <c r="BD92" s="175"/>
      <c r="BE92" s="175"/>
    </row>
    <row r="93" spans="1:57">
      <c r="A93" s="175"/>
      <c r="B93" s="181" t="s">
        <v>231</v>
      </c>
      <c r="C93" s="181">
        <v>2</v>
      </c>
      <c r="D93" s="181" t="s">
        <v>60</v>
      </c>
      <c r="E93" s="181" t="s">
        <v>232</v>
      </c>
      <c r="F93" s="181">
        <v>206.63</v>
      </c>
      <c r="G93" s="181" t="s">
        <v>60</v>
      </c>
      <c r="H93" s="181" t="s">
        <v>211</v>
      </c>
      <c r="I93" s="181" t="s">
        <v>233</v>
      </c>
      <c r="J93" s="182">
        <f>F93/C93</f>
        <v>103.315</v>
      </c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  <c r="AG93" s="175"/>
      <c r="AH93" s="175"/>
      <c r="AI93" s="175"/>
      <c r="AJ93" s="175"/>
      <c r="AK93" s="175"/>
      <c r="AL93" s="175"/>
      <c r="AM93" s="175"/>
      <c r="AN93" s="175"/>
      <c r="AO93" s="175"/>
      <c r="AP93" s="175"/>
      <c r="AQ93" s="175"/>
      <c r="AR93" s="175"/>
      <c r="AS93" s="175"/>
      <c r="AT93" s="175"/>
      <c r="AU93" s="175"/>
      <c r="AV93" s="175"/>
      <c r="AW93" s="175"/>
      <c r="AX93" s="175"/>
      <c r="AY93" s="175"/>
      <c r="AZ93" s="175"/>
      <c r="BA93" s="175"/>
      <c r="BB93" s="175"/>
      <c r="BC93" s="175"/>
      <c r="BD93" s="175"/>
      <c r="BE93" s="175"/>
    </row>
    <row r="94" spans="1:57">
      <c r="A94" s="175"/>
      <c r="B94" s="175"/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  <c r="AF94" s="175"/>
      <c r="AG94" s="175"/>
      <c r="AH94" s="175"/>
      <c r="AI94" s="175"/>
      <c r="AJ94" s="175"/>
      <c r="AK94" s="175"/>
      <c r="AL94" s="175"/>
      <c r="AM94" s="175"/>
      <c r="AN94" s="175"/>
      <c r="AO94" s="175"/>
      <c r="AP94" s="175"/>
      <c r="AQ94" s="175"/>
      <c r="AR94" s="175"/>
      <c r="AS94" s="175"/>
      <c r="AT94" s="175"/>
      <c r="AU94" s="175"/>
      <c r="AV94" s="175"/>
      <c r="AW94" s="175"/>
      <c r="AX94" s="175"/>
      <c r="AY94" s="175"/>
      <c r="AZ94" s="175"/>
      <c r="BA94" s="175"/>
      <c r="BB94" s="175"/>
      <c r="BC94" s="175"/>
      <c r="BD94" s="175"/>
      <c r="BE94" s="175"/>
    </row>
    <row r="95" spans="1:57">
      <c r="A95" s="175"/>
      <c r="B95" s="175"/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H95" s="175"/>
      <c r="AI95" s="175"/>
      <c r="AJ95" s="175"/>
      <c r="AK95" s="175"/>
      <c r="AL95" s="175"/>
      <c r="AM95" s="175"/>
      <c r="AN95" s="175"/>
      <c r="AO95" s="175"/>
      <c r="AP95" s="175"/>
      <c r="AQ95" s="175"/>
      <c r="AR95" s="175"/>
      <c r="AS95" s="175"/>
      <c r="AT95" s="175"/>
      <c r="AU95" s="175"/>
      <c r="AV95" s="175"/>
      <c r="AW95" s="175"/>
      <c r="AX95" s="175"/>
      <c r="AY95" s="175"/>
      <c r="AZ95" s="175"/>
      <c r="BA95" s="175"/>
      <c r="BB95" s="175"/>
      <c r="BC95" s="175"/>
      <c r="BD95" s="175"/>
      <c r="BE95" s="175"/>
    </row>
    <row r="96" spans="1:57">
      <c r="A96" s="175"/>
      <c r="B96" s="175"/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175"/>
      <c r="AN96" s="175"/>
      <c r="AO96" s="175"/>
      <c r="AP96" s="175"/>
      <c r="AQ96" s="175"/>
      <c r="AR96" s="175"/>
      <c r="AS96" s="175"/>
      <c r="AT96" s="175"/>
      <c r="AU96" s="175"/>
      <c r="AV96" s="175"/>
      <c r="AW96" s="175"/>
      <c r="AX96" s="175"/>
      <c r="AY96" s="175"/>
      <c r="AZ96" s="175"/>
      <c r="BA96" s="175"/>
      <c r="BB96" s="175"/>
      <c r="BC96" s="175"/>
      <c r="BD96" s="175"/>
      <c r="BE96" s="175"/>
    </row>
    <row r="97" spans="1:57">
      <c r="A97" s="175"/>
      <c r="B97" s="175"/>
      <c r="C97" s="175"/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  <c r="AF97" s="175"/>
      <c r="AG97" s="175"/>
      <c r="AH97" s="175"/>
      <c r="AI97" s="175"/>
      <c r="AJ97" s="175"/>
      <c r="AK97" s="175"/>
      <c r="AL97" s="175"/>
      <c r="AM97" s="175"/>
      <c r="AN97" s="175"/>
      <c r="AO97" s="175"/>
      <c r="AP97" s="175"/>
      <c r="AQ97" s="175"/>
      <c r="AR97" s="175"/>
      <c r="AS97" s="175"/>
      <c r="AT97" s="175"/>
      <c r="AU97" s="175"/>
      <c r="AV97" s="175"/>
      <c r="AW97" s="175"/>
      <c r="AX97" s="175"/>
      <c r="AY97" s="175"/>
      <c r="AZ97" s="175"/>
      <c r="BA97" s="175"/>
      <c r="BB97" s="175"/>
      <c r="BC97" s="175"/>
      <c r="BD97" s="175"/>
      <c r="BE97" s="175"/>
    </row>
    <row r="98" spans="1:57">
      <c r="A98" s="175"/>
      <c r="B98" s="175"/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  <c r="AE98" s="175"/>
      <c r="AF98" s="175"/>
      <c r="AG98" s="175"/>
      <c r="AH98" s="175"/>
      <c r="AI98" s="175"/>
      <c r="AJ98" s="175"/>
      <c r="AK98" s="175"/>
      <c r="AL98" s="175"/>
      <c r="AM98" s="175"/>
      <c r="AN98" s="175"/>
      <c r="AO98" s="175"/>
      <c r="AP98" s="175"/>
      <c r="AQ98" s="175"/>
      <c r="AR98" s="175"/>
      <c r="AS98" s="175"/>
      <c r="AT98" s="175"/>
      <c r="AU98" s="175"/>
      <c r="AV98" s="175"/>
      <c r="AW98" s="175"/>
      <c r="AX98" s="175"/>
      <c r="AY98" s="175"/>
      <c r="AZ98" s="175"/>
      <c r="BA98" s="175"/>
      <c r="BB98" s="175"/>
      <c r="BC98" s="175"/>
      <c r="BD98" s="175"/>
      <c r="BE98" s="175"/>
    </row>
    <row r="99" spans="1:57">
      <c r="A99" s="175"/>
      <c r="B99" s="175"/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175"/>
      <c r="AN99" s="175"/>
      <c r="AO99" s="175"/>
      <c r="AP99" s="175"/>
      <c r="AQ99" s="175"/>
      <c r="AR99" s="175"/>
      <c r="AS99" s="175"/>
      <c r="AT99" s="175"/>
      <c r="AU99" s="175"/>
      <c r="AV99" s="175"/>
      <c r="AW99" s="175"/>
      <c r="AX99" s="175"/>
      <c r="AY99" s="175"/>
      <c r="AZ99" s="175"/>
      <c r="BA99" s="175"/>
      <c r="BB99" s="175"/>
      <c r="BC99" s="175"/>
      <c r="BD99" s="175"/>
      <c r="BE99" s="175"/>
    </row>
    <row r="100" spans="1:57">
      <c r="A100" s="175"/>
      <c r="B100" s="175"/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M100" s="175"/>
      <c r="AN100" s="175"/>
      <c r="AO100" s="175"/>
      <c r="AP100" s="175"/>
      <c r="AQ100" s="175"/>
      <c r="AR100" s="175"/>
      <c r="AS100" s="175"/>
      <c r="AT100" s="175"/>
      <c r="AU100" s="175"/>
      <c r="AV100" s="175"/>
      <c r="AW100" s="175"/>
      <c r="AX100" s="175"/>
      <c r="AY100" s="175"/>
      <c r="AZ100" s="175"/>
      <c r="BA100" s="175"/>
      <c r="BB100" s="175"/>
      <c r="BC100" s="175"/>
      <c r="BD100" s="175"/>
      <c r="BE100" s="175"/>
    </row>
  </sheetData>
  <mergeCells count="9">
    <mergeCell ref="B24:R24"/>
    <mergeCell ref="B48:R48"/>
    <mergeCell ref="B72:R72"/>
    <mergeCell ref="T1:AJ1"/>
    <mergeCell ref="AL1:BB1"/>
    <mergeCell ref="T24:AJ24"/>
    <mergeCell ref="T48:AJ48"/>
    <mergeCell ref="AL48:BB48"/>
    <mergeCell ref="AL24:BB2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E100"/>
  <sheetViews>
    <sheetView workbookViewId="0"/>
  </sheetViews>
  <sheetFormatPr defaultRowHeight="15"/>
  <cols>
    <col min="1" max="1" width="2.7109375" customWidth="1"/>
  </cols>
  <sheetData>
    <row r="1" spans="1:57" ht="15.75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249" t="s">
        <v>234</v>
      </c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175"/>
      <c r="AL1" s="249" t="s">
        <v>234</v>
      </c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175"/>
      <c r="BD1" s="175"/>
      <c r="BE1" s="175"/>
    </row>
    <row r="2" spans="1:57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</row>
    <row r="3" spans="1:57">
      <c r="A3" s="175"/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</row>
    <row r="4" spans="1:57">
      <c r="A4" s="175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</row>
    <row r="5" spans="1:57">
      <c r="A5" s="175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</row>
    <row r="6" spans="1:57">
      <c r="A6" s="175"/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</row>
    <row r="7" spans="1:57">
      <c r="A7" s="175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</row>
    <row r="8" spans="1:57">
      <c r="A8" s="175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</row>
    <row r="9" spans="1:57">
      <c r="A9" s="175"/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</row>
    <row r="10" spans="1:57">
      <c r="A10" s="175"/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</row>
    <row r="11" spans="1:57">
      <c r="A11" s="175"/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</row>
    <row r="12" spans="1:57">
      <c r="A12" s="175"/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</row>
    <row r="13" spans="1:57">
      <c r="A13" s="175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</row>
    <row r="14" spans="1:57">
      <c r="A14" s="175"/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</row>
    <row r="15" spans="1:57">
      <c r="A15" s="175"/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</row>
    <row r="16" spans="1:57">
      <c r="A16" s="175"/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</row>
    <row r="17" spans="1:57">
      <c r="A17" s="175"/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</row>
    <row r="18" spans="1:57">
      <c r="A18" s="175"/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5"/>
      <c r="AQ18" s="175"/>
      <c r="AR18" s="175"/>
      <c r="AS18" s="175"/>
      <c r="AT18" s="175"/>
      <c r="AU18" s="175"/>
      <c r="AV18" s="175"/>
      <c r="AW18" s="175"/>
      <c r="AX18" s="175"/>
      <c r="AY18" s="175"/>
      <c r="AZ18" s="175"/>
      <c r="BA18" s="175"/>
      <c r="BB18" s="175"/>
      <c r="BC18" s="175"/>
      <c r="BD18" s="175"/>
      <c r="BE18" s="175"/>
    </row>
    <row r="19" spans="1:57">
      <c r="A19" s="175"/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5"/>
      <c r="AQ19" s="175"/>
      <c r="AR19" s="175"/>
      <c r="AS19" s="175"/>
      <c r="AT19" s="175"/>
      <c r="AU19" s="175"/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</row>
    <row r="20" spans="1:57">
      <c r="A20" s="175"/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5"/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5"/>
      <c r="BB20" s="175"/>
      <c r="BC20" s="175"/>
      <c r="BD20" s="175"/>
      <c r="BE20" s="175"/>
    </row>
    <row r="21" spans="1:57">
      <c r="A21" s="175"/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5"/>
      <c r="AQ21" s="175"/>
      <c r="AR21" s="175"/>
      <c r="AS21" s="175"/>
      <c r="AT21" s="175"/>
      <c r="AU21" s="175"/>
      <c r="AV21" s="175"/>
      <c r="AW21" s="175"/>
      <c r="AX21" s="175"/>
      <c r="AY21" s="175"/>
      <c r="AZ21" s="175"/>
      <c r="BA21" s="175"/>
      <c r="BB21" s="175"/>
      <c r="BC21" s="175"/>
      <c r="BD21" s="175"/>
      <c r="BE21" s="175"/>
    </row>
    <row r="22" spans="1:57">
      <c r="A22" s="175"/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81" t="s">
        <v>237</v>
      </c>
      <c r="U22" s="181"/>
      <c r="V22" s="181"/>
      <c r="W22" s="181"/>
      <c r="X22" s="181" t="s">
        <v>238</v>
      </c>
      <c r="Y22" s="181">
        <v>90</v>
      </c>
      <c r="Z22" s="181" t="s">
        <v>239</v>
      </c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81" t="s">
        <v>242</v>
      </c>
      <c r="AM22" s="181"/>
      <c r="AN22" s="181"/>
      <c r="AO22" s="181"/>
      <c r="AP22" s="181" t="s">
        <v>238</v>
      </c>
      <c r="AQ22" s="181">
        <v>16</v>
      </c>
      <c r="AR22" s="181" t="s">
        <v>243</v>
      </c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175"/>
      <c r="BD22" s="175"/>
      <c r="BE22" s="175"/>
    </row>
    <row r="23" spans="1:57">
      <c r="A23" s="175"/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</row>
    <row r="24" spans="1:57" ht="15.75">
      <c r="A24" s="175"/>
      <c r="B24" s="249" t="s">
        <v>234</v>
      </c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175"/>
      <c r="T24" s="249" t="s">
        <v>235</v>
      </c>
      <c r="U24" s="249"/>
      <c r="V24" s="249"/>
      <c r="W24" s="249"/>
      <c r="X24" s="249"/>
      <c r="Y24" s="249"/>
      <c r="Z24" s="249"/>
      <c r="AA24" s="249"/>
      <c r="AB24" s="249"/>
      <c r="AC24" s="249"/>
      <c r="AD24" s="249"/>
      <c r="AE24" s="249"/>
      <c r="AF24" s="249"/>
      <c r="AG24" s="249"/>
      <c r="AH24" s="249"/>
      <c r="AI24" s="249"/>
      <c r="AJ24" s="249"/>
      <c r="AK24" s="175"/>
      <c r="AL24" s="249" t="s">
        <v>235</v>
      </c>
      <c r="AM24" s="249"/>
      <c r="AN24" s="249"/>
      <c r="AO24" s="249"/>
      <c r="AP24" s="249"/>
      <c r="AQ24" s="249"/>
      <c r="AR24" s="249"/>
      <c r="AS24" s="249"/>
      <c r="AT24" s="249"/>
      <c r="AU24" s="249"/>
      <c r="AV24" s="249"/>
      <c r="AW24" s="249"/>
      <c r="AX24" s="249"/>
      <c r="AY24" s="249"/>
      <c r="AZ24" s="249"/>
      <c r="BA24" s="249"/>
      <c r="BB24" s="249"/>
      <c r="BC24" s="175"/>
      <c r="BD24" s="175"/>
      <c r="BE24" s="175"/>
    </row>
    <row r="25" spans="1:57">
      <c r="A25" s="175"/>
      <c r="B25" s="175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</row>
    <row r="26" spans="1:57">
      <c r="A26" s="175"/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</row>
    <row r="27" spans="1:57">
      <c r="A27" s="175"/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</row>
    <row r="28" spans="1:57">
      <c r="A28" s="175"/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</row>
    <row r="29" spans="1:57">
      <c r="A29" s="175"/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</row>
    <row r="30" spans="1:57">
      <c r="A30" s="175"/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</row>
    <row r="31" spans="1:57">
      <c r="A31" s="175"/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</row>
    <row r="32" spans="1:57">
      <c r="A32" s="175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</row>
    <row r="33" spans="1:57">
      <c r="A33" s="175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</row>
    <row r="34" spans="1:57">
      <c r="A34" s="175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5"/>
      <c r="AO34" s="175"/>
      <c r="AP34" s="175"/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5"/>
      <c r="BB34" s="175"/>
      <c r="BC34" s="175"/>
      <c r="BD34" s="175"/>
      <c r="BE34" s="175"/>
    </row>
    <row r="35" spans="1:57">
      <c r="A35" s="175"/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</row>
    <row r="36" spans="1:57">
      <c r="A36" s="175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5"/>
      <c r="BE36" s="175"/>
    </row>
    <row r="37" spans="1:57">
      <c r="A37" s="175"/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</row>
    <row r="38" spans="1:57">
      <c r="A38" s="175"/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</row>
    <row r="39" spans="1:57">
      <c r="A39" s="175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</row>
    <row r="40" spans="1:57">
      <c r="A40" s="175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</row>
    <row r="41" spans="1:57">
      <c r="A41" s="175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</row>
    <row r="42" spans="1:57">
      <c r="A42" s="175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</row>
    <row r="43" spans="1:57">
      <c r="A43" s="175"/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</row>
    <row r="44" spans="1:57">
      <c r="A44" s="175"/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</row>
    <row r="45" spans="1:57">
      <c r="A45" s="175"/>
      <c r="B45" s="181" t="s">
        <v>231</v>
      </c>
      <c r="C45" s="181">
        <v>2</v>
      </c>
      <c r="D45" s="181" t="s">
        <v>60</v>
      </c>
      <c r="E45" s="181" t="s">
        <v>232</v>
      </c>
      <c r="F45" s="181">
        <v>8.7733000000000008</v>
      </c>
      <c r="G45" s="181" t="s">
        <v>60</v>
      </c>
      <c r="H45" s="181" t="s">
        <v>211</v>
      </c>
      <c r="I45" s="181" t="s">
        <v>233</v>
      </c>
      <c r="J45" s="182">
        <f>F45/C45</f>
        <v>4.3866500000000004</v>
      </c>
      <c r="K45" s="175"/>
      <c r="L45" s="175"/>
      <c r="M45" s="175"/>
      <c r="N45" s="175"/>
      <c r="O45" s="175"/>
      <c r="P45" s="175"/>
      <c r="Q45" s="175"/>
      <c r="R45" s="175"/>
      <c r="S45" s="175"/>
      <c r="T45" s="181" t="s">
        <v>240</v>
      </c>
      <c r="U45" s="181"/>
      <c r="V45" s="181"/>
      <c r="W45" s="181"/>
      <c r="X45" s="181" t="s">
        <v>238</v>
      </c>
      <c r="Y45" s="181">
        <v>100</v>
      </c>
      <c r="Z45" s="181" t="s">
        <v>239</v>
      </c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81" t="s">
        <v>244</v>
      </c>
      <c r="AM45" s="181"/>
      <c r="AN45" s="181"/>
      <c r="AO45" s="181"/>
      <c r="AP45" s="181" t="s">
        <v>238</v>
      </c>
      <c r="AQ45" s="181">
        <v>20</v>
      </c>
      <c r="AR45" s="181" t="s">
        <v>243</v>
      </c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</row>
    <row r="46" spans="1:57">
      <c r="A46" s="175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</row>
    <row r="47" spans="1:57">
      <c r="A47" s="175"/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</row>
    <row r="48" spans="1:57" ht="15.75">
      <c r="A48" s="175"/>
      <c r="B48" s="249" t="s">
        <v>235</v>
      </c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  <c r="R48" s="249"/>
      <c r="S48" s="175"/>
      <c r="T48" s="249" t="s">
        <v>236</v>
      </c>
      <c r="U48" s="249"/>
      <c r="V48" s="249"/>
      <c r="W48" s="249"/>
      <c r="X48" s="249"/>
      <c r="Y48" s="249"/>
      <c r="Z48" s="249"/>
      <c r="AA48" s="249"/>
      <c r="AB48" s="249"/>
      <c r="AC48" s="249"/>
      <c r="AD48" s="249"/>
      <c r="AE48" s="249"/>
      <c r="AF48" s="249"/>
      <c r="AG48" s="249"/>
      <c r="AH48" s="249"/>
      <c r="AI48" s="249"/>
      <c r="AJ48" s="249"/>
      <c r="AK48" s="175"/>
      <c r="AL48" s="249" t="s">
        <v>236</v>
      </c>
      <c r="AM48" s="249"/>
      <c r="AN48" s="249"/>
      <c r="AO48" s="249"/>
      <c r="AP48" s="249"/>
      <c r="AQ48" s="249"/>
      <c r="AR48" s="249"/>
      <c r="AS48" s="249"/>
      <c r="AT48" s="249"/>
      <c r="AU48" s="249"/>
      <c r="AV48" s="249"/>
      <c r="AW48" s="249"/>
      <c r="AX48" s="249"/>
      <c r="AY48" s="249"/>
      <c r="AZ48" s="249"/>
      <c r="BA48" s="249"/>
      <c r="BB48" s="249"/>
      <c r="BC48" s="175"/>
      <c r="BD48" s="175"/>
      <c r="BE48" s="175"/>
    </row>
    <row r="49" spans="1:57">
      <c r="A49" s="175"/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</row>
    <row r="50" spans="1:57">
      <c r="A50" s="175"/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</row>
    <row r="51" spans="1:57">
      <c r="A51" s="175"/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75"/>
      <c r="BC51" s="175"/>
      <c r="BD51" s="175"/>
      <c r="BE51" s="175"/>
    </row>
    <row r="52" spans="1:57">
      <c r="A52" s="175"/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</row>
    <row r="53" spans="1:5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</row>
    <row r="54" spans="1:57">
      <c r="A54" s="175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</row>
    <row r="55" spans="1:57">
      <c r="A55" s="175"/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  <c r="AZ55" s="175"/>
      <c r="BA55" s="175"/>
      <c r="BB55" s="175"/>
      <c r="BC55" s="175"/>
      <c r="BD55" s="175"/>
      <c r="BE55" s="175"/>
    </row>
    <row r="56" spans="1:57">
      <c r="A56" s="175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</row>
    <row r="57" spans="1:57">
      <c r="A57" s="175"/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</row>
    <row r="58" spans="1:57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</row>
    <row r="59" spans="1:57">
      <c r="A59" s="175"/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  <c r="AM59" s="175"/>
      <c r="AN59" s="175"/>
      <c r="AO59" s="175"/>
      <c r="AP59" s="175"/>
      <c r="AQ59" s="175"/>
      <c r="AR59" s="175"/>
      <c r="AS59" s="175"/>
      <c r="AT59" s="175"/>
      <c r="AU59" s="175"/>
      <c r="AV59" s="175"/>
      <c r="AW59" s="175"/>
      <c r="AX59" s="175"/>
      <c r="AY59" s="175"/>
      <c r="AZ59" s="175"/>
      <c r="BA59" s="175"/>
      <c r="BB59" s="175"/>
      <c r="BC59" s="175"/>
      <c r="BD59" s="175"/>
      <c r="BE59" s="175"/>
    </row>
    <row r="60" spans="1:57">
      <c r="A60" s="175"/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5"/>
      <c r="AM60" s="175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</row>
    <row r="61" spans="1:57">
      <c r="A61" s="175"/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  <c r="AM61" s="175"/>
      <c r="AN61" s="175"/>
      <c r="AO61" s="175"/>
      <c r="AP61" s="175"/>
      <c r="AQ61" s="175"/>
      <c r="AR61" s="175"/>
      <c r="AS61" s="175"/>
      <c r="AT61" s="175"/>
      <c r="AU61" s="175"/>
      <c r="AV61" s="175"/>
      <c r="AW61" s="175"/>
      <c r="AX61" s="175"/>
      <c r="AY61" s="175"/>
      <c r="AZ61" s="175"/>
      <c r="BA61" s="175"/>
      <c r="BB61" s="175"/>
      <c r="BC61" s="175"/>
      <c r="BD61" s="175"/>
      <c r="BE61" s="175"/>
    </row>
    <row r="62" spans="1:57">
      <c r="A62" s="175"/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5"/>
      <c r="AQ62" s="175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</row>
    <row r="63" spans="1:57">
      <c r="A63" s="175"/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  <c r="AM63" s="175"/>
      <c r="AN63" s="175"/>
      <c r="AO63" s="175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  <c r="AZ63" s="175"/>
      <c r="BA63" s="175"/>
      <c r="BB63" s="175"/>
      <c r="BC63" s="175"/>
      <c r="BD63" s="175"/>
      <c r="BE63" s="175"/>
    </row>
    <row r="64" spans="1:57">
      <c r="A64" s="175"/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  <c r="AM64" s="175"/>
      <c r="AN64" s="175"/>
      <c r="AO64" s="175"/>
      <c r="AP64" s="175"/>
      <c r="AQ64" s="175"/>
      <c r="AR64" s="175"/>
      <c r="AS64" s="175"/>
      <c r="AT64" s="175"/>
      <c r="AU64" s="175"/>
      <c r="AV64" s="175"/>
      <c r="AW64" s="175"/>
      <c r="AX64" s="175"/>
      <c r="AY64" s="175"/>
      <c r="AZ64" s="175"/>
      <c r="BA64" s="175"/>
      <c r="BB64" s="175"/>
      <c r="BC64" s="175"/>
      <c r="BD64" s="175"/>
      <c r="BE64" s="175"/>
    </row>
    <row r="65" spans="1:57">
      <c r="A65" s="175"/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5"/>
      <c r="AM65" s="175"/>
      <c r="AN65" s="175"/>
      <c r="AO65" s="175"/>
      <c r="AP65" s="175"/>
      <c r="AQ65" s="175"/>
      <c r="AR65" s="175"/>
      <c r="AS65" s="175"/>
      <c r="AT65" s="175"/>
      <c r="AU65" s="175"/>
      <c r="AV65" s="175"/>
      <c r="AW65" s="175"/>
      <c r="AX65" s="175"/>
      <c r="AY65" s="175"/>
      <c r="AZ65" s="175"/>
      <c r="BA65" s="175"/>
      <c r="BB65" s="175"/>
      <c r="BC65" s="175"/>
      <c r="BD65" s="175"/>
      <c r="BE65" s="175"/>
    </row>
    <row r="66" spans="1:57">
      <c r="A66" s="175"/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  <c r="AM66" s="175"/>
      <c r="AN66" s="175"/>
      <c r="AO66" s="175"/>
      <c r="AP66" s="175"/>
      <c r="AQ66" s="175"/>
      <c r="AR66" s="175"/>
      <c r="AS66" s="175"/>
      <c r="AT66" s="175"/>
      <c r="AU66" s="175"/>
      <c r="AV66" s="175"/>
      <c r="AW66" s="175"/>
      <c r="AX66" s="175"/>
      <c r="AY66" s="175"/>
      <c r="AZ66" s="175"/>
      <c r="BA66" s="175"/>
      <c r="BB66" s="175"/>
      <c r="BC66" s="175"/>
      <c r="BD66" s="175"/>
      <c r="BE66" s="175"/>
    </row>
    <row r="67" spans="1:57">
      <c r="A67" s="175"/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5"/>
      <c r="AM67" s="175"/>
      <c r="AN67" s="175"/>
      <c r="AO67" s="175"/>
      <c r="AP67" s="175"/>
      <c r="AQ67" s="175"/>
      <c r="AR67" s="175"/>
      <c r="AS67" s="175"/>
      <c r="AT67" s="175"/>
      <c r="AU67" s="175"/>
      <c r="AV67" s="175"/>
      <c r="AW67" s="175"/>
      <c r="AX67" s="175"/>
      <c r="AY67" s="175"/>
      <c r="AZ67" s="175"/>
      <c r="BA67" s="175"/>
      <c r="BB67" s="175"/>
      <c r="BC67" s="175"/>
      <c r="BD67" s="175"/>
      <c r="BE67" s="175"/>
    </row>
    <row r="68" spans="1:57">
      <c r="A68" s="175"/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5"/>
      <c r="AQ68" s="175"/>
      <c r="AR68" s="175"/>
      <c r="AS68" s="175"/>
      <c r="AT68" s="175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</row>
    <row r="69" spans="1:57">
      <c r="A69" s="175"/>
      <c r="B69" s="181" t="s">
        <v>231</v>
      </c>
      <c r="C69" s="181">
        <v>2</v>
      </c>
      <c r="D69" s="181" t="s">
        <v>60</v>
      </c>
      <c r="E69" s="181" t="s">
        <v>232</v>
      </c>
      <c r="F69" s="181">
        <v>8.1564999999999994</v>
      </c>
      <c r="G69" s="181" t="s">
        <v>60</v>
      </c>
      <c r="H69" s="181" t="s">
        <v>211</v>
      </c>
      <c r="I69" s="181" t="s">
        <v>233</v>
      </c>
      <c r="J69" s="182">
        <f>F69/C69</f>
        <v>4.0782499999999997</v>
      </c>
      <c r="K69" s="175"/>
      <c r="L69" s="175"/>
      <c r="M69" s="175"/>
      <c r="N69" s="175"/>
      <c r="O69" s="175"/>
      <c r="P69" s="175"/>
      <c r="Q69" s="175"/>
      <c r="R69" s="175"/>
      <c r="S69" s="175"/>
      <c r="T69" s="181" t="s">
        <v>241</v>
      </c>
      <c r="U69" s="181"/>
      <c r="V69" s="181"/>
      <c r="W69" s="181"/>
      <c r="X69" s="181" t="s">
        <v>238</v>
      </c>
      <c r="Y69" s="181">
        <v>375</v>
      </c>
      <c r="Z69" s="181" t="s">
        <v>239</v>
      </c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81" t="s">
        <v>245</v>
      </c>
      <c r="AM69" s="181"/>
      <c r="AN69" s="181"/>
      <c r="AO69" s="181"/>
      <c r="AP69" s="181" t="s">
        <v>238</v>
      </c>
      <c r="AQ69" s="181">
        <v>11</v>
      </c>
      <c r="AR69" s="181" t="s">
        <v>243</v>
      </c>
      <c r="AS69" s="175"/>
      <c r="AT69" s="175"/>
      <c r="AU69" s="175"/>
      <c r="AV69" s="175"/>
      <c r="AW69" s="175"/>
      <c r="AX69" s="175"/>
      <c r="AY69" s="175"/>
      <c r="AZ69" s="175"/>
      <c r="BA69" s="175"/>
      <c r="BB69" s="175"/>
      <c r="BC69" s="175"/>
      <c r="BD69" s="175"/>
      <c r="BE69" s="175"/>
    </row>
    <row r="70" spans="1:57">
      <c r="A70" s="175"/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5"/>
      <c r="AM70" s="175"/>
      <c r="AN70" s="175"/>
      <c r="AO70" s="175"/>
      <c r="AP70" s="175"/>
      <c r="AQ70" s="175"/>
      <c r="AR70" s="175"/>
      <c r="AS70" s="175"/>
      <c r="AT70" s="175"/>
      <c r="AU70" s="175"/>
      <c r="AV70" s="175"/>
      <c r="AW70" s="175"/>
      <c r="AX70" s="175"/>
      <c r="AY70" s="175"/>
      <c r="AZ70" s="175"/>
      <c r="BA70" s="175"/>
      <c r="BB70" s="175"/>
      <c r="BC70" s="175"/>
      <c r="BD70" s="175"/>
      <c r="BE70" s="175"/>
    </row>
    <row r="71" spans="1:57">
      <c r="A71" s="175"/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5"/>
      <c r="AM71" s="175"/>
      <c r="AN71" s="175"/>
      <c r="AO71" s="175"/>
      <c r="AP71" s="175"/>
      <c r="AQ71" s="175"/>
      <c r="AR71" s="175"/>
      <c r="AS71" s="175"/>
      <c r="AT71" s="175"/>
      <c r="AU71" s="175"/>
      <c r="AV71" s="175"/>
      <c r="AW71" s="175"/>
      <c r="AX71" s="175"/>
      <c r="AY71" s="175"/>
      <c r="AZ71" s="175"/>
      <c r="BA71" s="175"/>
      <c r="BB71" s="175"/>
      <c r="BC71" s="175"/>
      <c r="BD71" s="175"/>
      <c r="BE71" s="175"/>
    </row>
    <row r="72" spans="1:57" ht="15.75">
      <c r="A72" s="175"/>
      <c r="B72" s="249" t="s">
        <v>236</v>
      </c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  <c r="R72" s="249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5"/>
      <c r="AM72" s="175"/>
      <c r="AN72" s="175"/>
      <c r="AO72" s="175"/>
      <c r="AP72" s="175"/>
      <c r="AQ72" s="175"/>
      <c r="AR72" s="175"/>
      <c r="AS72" s="175"/>
      <c r="AT72" s="175"/>
      <c r="AU72" s="175"/>
      <c r="AV72" s="175"/>
      <c r="AW72" s="175"/>
      <c r="AX72" s="175"/>
      <c r="AY72" s="175"/>
      <c r="AZ72" s="175"/>
      <c r="BA72" s="175"/>
      <c r="BB72" s="175"/>
      <c r="BC72" s="175"/>
      <c r="BD72" s="175"/>
      <c r="BE72" s="175"/>
    </row>
    <row r="73" spans="1:57">
      <c r="A73" s="175"/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5"/>
      <c r="AM73" s="175"/>
      <c r="AN73" s="175"/>
      <c r="AO73" s="175"/>
      <c r="AP73" s="175"/>
      <c r="AQ73" s="175"/>
      <c r="AR73" s="175"/>
      <c r="AS73" s="175"/>
      <c r="AT73" s="175"/>
      <c r="AU73" s="175"/>
      <c r="AV73" s="175"/>
      <c r="AW73" s="175"/>
      <c r="AX73" s="175"/>
      <c r="AY73" s="175"/>
      <c r="AZ73" s="175"/>
      <c r="BA73" s="175"/>
      <c r="BB73" s="175"/>
      <c r="BC73" s="175"/>
      <c r="BD73" s="175"/>
      <c r="BE73" s="175"/>
    </row>
    <row r="74" spans="1:57">
      <c r="A74" s="175"/>
      <c r="B74" s="175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5"/>
      <c r="AM74" s="175"/>
      <c r="AN74" s="175"/>
      <c r="AO74" s="175"/>
      <c r="AP74" s="175"/>
      <c r="AQ74" s="175"/>
      <c r="AR74" s="175"/>
      <c r="AS74" s="175"/>
      <c r="AT74" s="175"/>
      <c r="AU74" s="175"/>
      <c r="AV74" s="175"/>
      <c r="AW74" s="175"/>
      <c r="AX74" s="175"/>
      <c r="AY74" s="175"/>
      <c r="AZ74" s="175"/>
      <c r="BA74" s="175"/>
      <c r="BB74" s="175"/>
      <c r="BC74" s="175"/>
      <c r="BD74" s="175"/>
      <c r="BE74" s="175"/>
    </row>
    <row r="75" spans="1:57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5"/>
      <c r="AM75" s="175"/>
      <c r="AN75" s="175"/>
      <c r="AO75" s="175"/>
      <c r="AP75" s="175"/>
      <c r="AQ75" s="175"/>
      <c r="AR75" s="175"/>
      <c r="AS75" s="175"/>
      <c r="AT75" s="175"/>
      <c r="AU75" s="175"/>
      <c r="AV75" s="175"/>
      <c r="AW75" s="175"/>
      <c r="AX75" s="175"/>
      <c r="AY75" s="175"/>
      <c r="AZ75" s="175"/>
      <c r="BA75" s="175"/>
      <c r="BB75" s="175"/>
      <c r="BC75" s="175"/>
      <c r="BD75" s="175"/>
      <c r="BE75" s="175"/>
    </row>
    <row r="76" spans="1:57">
      <c r="A76" s="175"/>
      <c r="B76" s="175"/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H76" s="175"/>
      <c r="AI76" s="175"/>
      <c r="AJ76" s="175"/>
      <c r="AK76" s="175"/>
      <c r="AL76" s="175"/>
      <c r="AM76" s="175"/>
      <c r="AN76" s="175"/>
      <c r="AO76" s="175"/>
      <c r="AP76" s="175"/>
      <c r="AQ76" s="175"/>
      <c r="AR76" s="175"/>
      <c r="AS76" s="175"/>
      <c r="AT76" s="175"/>
      <c r="AU76" s="175"/>
      <c r="AV76" s="175"/>
      <c r="AW76" s="175"/>
      <c r="AX76" s="175"/>
      <c r="AY76" s="175"/>
      <c r="AZ76" s="175"/>
      <c r="BA76" s="175"/>
      <c r="BB76" s="175"/>
      <c r="BC76" s="175"/>
      <c r="BD76" s="175"/>
      <c r="BE76" s="175"/>
    </row>
    <row r="77" spans="1:57">
      <c r="A77" s="175"/>
      <c r="B77" s="175"/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  <c r="AI77" s="175"/>
      <c r="AJ77" s="175"/>
      <c r="AK77" s="175"/>
      <c r="AL77" s="175"/>
      <c r="AM77" s="175"/>
      <c r="AN77" s="175"/>
      <c r="AO77" s="175"/>
      <c r="AP77" s="175"/>
      <c r="AQ77" s="175"/>
      <c r="AR77" s="175"/>
      <c r="AS77" s="175"/>
      <c r="AT77" s="175"/>
      <c r="AU77" s="175"/>
      <c r="AV77" s="175"/>
      <c r="AW77" s="175"/>
      <c r="AX77" s="175"/>
      <c r="AY77" s="175"/>
      <c r="AZ77" s="175"/>
      <c r="BA77" s="175"/>
      <c r="BB77" s="175"/>
      <c r="BC77" s="175"/>
      <c r="BD77" s="175"/>
      <c r="BE77" s="175"/>
    </row>
    <row r="78" spans="1:57">
      <c r="A78" s="175"/>
      <c r="B78" s="175"/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H78" s="175"/>
      <c r="AI78" s="175"/>
      <c r="AJ78" s="175"/>
      <c r="AK78" s="175"/>
      <c r="AL78" s="175"/>
      <c r="AM78" s="175"/>
      <c r="AN78" s="175"/>
      <c r="AO78" s="175"/>
      <c r="AP78" s="175"/>
      <c r="AQ78" s="175"/>
      <c r="AR78" s="175"/>
      <c r="AS78" s="175"/>
      <c r="AT78" s="175"/>
      <c r="AU78" s="175"/>
      <c r="AV78" s="175"/>
      <c r="AW78" s="175"/>
      <c r="AX78" s="175"/>
      <c r="AY78" s="175"/>
      <c r="AZ78" s="175"/>
      <c r="BA78" s="175"/>
      <c r="BB78" s="175"/>
      <c r="BC78" s="175"/>
      <c r="BD78" s="175"/>
      <c r="BE78" s="175"/>
    </row>
    <row r="79" spans="1:57">
      <c r="A79" s="175"/>
      <c r="B79" s="175"/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  <c r="AM79" s="175"/>
      <c r="AN79" s="175"/>
      <c r="AO79" s="175"/>
      <c r="AP79" s="175"/>
      <c r="AQ79" s="175"/>
      <c r="AR79" s="175"/>
      <c r="AS79" s="175"/>
      <c r="AT79" s="175"/>
      <c r="AU79" s="175"/>
      <c r="AV79" s="175"/>
      <c r="AW79" s="175"/>
      <c r="AX79" s="175"/>
      <c r="AY79" s="175"/>
      <c r="AZ79" s="175"/>
      <c r="BA79" s="175"/>
      <c r="BB79" s="175"/>
      <c r="BC79" s="175"/>
      <c r="BD79" s="175"/>
      <c r="BE79" s="175"/>
    </row>
    <row r="80" spans="1:57">
      <c r="A80" s="175"/>
      <c r="B80" s="175"/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175"/>
      <c r="AN80" s="175"/>
      <c r="AO80" s="175"/>
      <c r="AP80" s="175"/>
      <c r="AQ80" s="175"/>
      <c r="AR80" s="175"/>
      <c r="AS80" s="175"/>
      <c r="AT80" s="175"/>
      <c r="AU80" s="175"/>
      <c r="AV80" s="175"/>
      <c r="AW80" s="175"/>
      <c r="AX80" s="175"/>
      <c r="AY80" s="175"/>
      <c r="AZ80" s="175"/>
      <c r="BA80" s="175"/>
      <c r="BB80" s="175"/>
      <c r="BC80" s="175"/>
      <c r="BD80" s="175"/>
      <c r="BE80" s="175"/>
    </row>
    <row r="81" spans="1:57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  <c r="AM81" s="175"/>
      <c r="AN81" s="175"/>
      <c r="AO81" s="175"/>
      <c r="AP81" s="175"/>
      <c r="AQ81" s="175"/>
      <c r="AR81" s="175"/>
      <c r="AS81" s="175"/>
      <c r="AT81" s="175"/>
      <c r="AU81" s="175"/>
      <c r="AV81" s="175"/>
      <c r="AW81" s="175"/>
      <c r="AX81" s="175"/>
      <c r="AY81" s="175"/>
      <c r="AZ81" s="175"/>
      <c r="BA81" s="175"/>
      <c r="BB81" s="175"/>
      <c r="BC81" s="175"/>
      <c r="BD81" s="175"/>
      <c r="BE81" s="175"/>
    </row>
    <row r="82" spans="1:57">
      <c r="A82" s="175"/>
      <c r="B82" s="175"/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H82" s="175"/>
      <c r="AI82" s="175"/>
      <c r="AJ82" s="175"/>
      <c r="AK82" s="175"/>
      <c r="AL82" s="175"/>
      <c r="AM82" s="175"/>
      <c r="AN82" s="175"/>
      <c r="AO82" s="175"/>
      <c r="AP82" s="175"/>
      <c r="AQ82" s="175"/>
      <c r="AR82" s="175"/>
      <c r="AS82" s="175"/>
      <c r="AT82" s="175"/>
      <c r="AU82" s="175"/>
      <c r="AV82" s="175"/>
      <c r="AW82" s="175"/>
      <c r="AX82" s="175"/>
      <c r="AY82" s="175"/>
      <c r="AZ82" s="175"/>
      <c r="BA82" s="175"/>
      <c r="BB82" s="175"/>
      <c r="BC82" s="175"/>
      <c r="BD82" s="175"/>
      <c r="BE82" s="175"/>
    </row>
    <row r="83" spans="1:57">
      <c r="A83" s="175"/>
      <c r="B83" s="175"/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  <c r="AM83" s="175"/>
      <c r="AN83" s="175"/>
      <c r="AO83" s="175"/>
      <c r="AP83" s="175"/>
      <c r="AQ83" s="175"/>
      <c r="AR83" s="175"/>
      <c r="AS83" s="175"/>
      <c r="AT83" s="175"/>
      <c r="AU83" s="175"/>
      <c r="AV83" s="175"/>
      <c r="AW83" s="175"/>
      <c r="AX83" s="175"/>
      <c r="AY83" s="175"/>
      <c r="AZ83" s="175"/>
      <c r="BA83" s="175"/>
      <c r="BB83" s="175"/>
      <c r="BC83" s="175"/>
      <c r="BD83" s="175"/>
      <c r="BE83" s="175"/>
    </row>
    <row r="84" spans="1:57">
      <c r="A84" s="175"/>
      <c r="B84" s="175"/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175"/>
      <c r="AL84" s="175"/>
      <c r="AM84" s="175"/>
      <c r="AN84" s="175"/>
      <c r="AO84" s="175"/>
      <c r="AP84" s="175"/>
      <c r="AQ84" s="175"/>
      <c r="AR84" s="175"/>
      <c r="AS84" s="175"/>
      <c r="AT84" s="175"/>
      <c r="AU84" s="175"/>
      <c r="AV84" s="175"/>
      <c r="AW84" s="175"/>
      <c r="AX84" s="175"/>
      <c r="AY84" s="175"/>
      <c r="AZ84" s="175"/>
      <c r="BA84" s="175"/>
      <c r="BB84" s="175"/>
      <c r="BC84" s="175"/>
      <c r="BD84" s="175"/>
      <c r="BE84" s="175"/>
    </row>
    <row r="85" spans="1:57">
      <c r="A85" s="175"/>
      <c r="B85" s="175"/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H85" s="175"/>
      <c r="AI85" s="175"/>
      <c r="AJ85" s="175"/>
      <c r="AK85" s="175"/>
      <c r="AL85" s="175"/>
      <c r="AM85" s="175"/>
      <c r="AN85" s="175"/>
      <c r="AO85" s="175"/>
      <c r="AP85" s="175"/>
      <c r="AQ85" s="175"/>
      <c r="AR85" s="175"/>
      <c r="AS85" s="175"/>
      <c r="AT85" s="175"/>
      <c r="AU85" s="175"/>
      <c r="AV85" s="175"/>
      <c r="AW85" s="175"/>
      <c r="AX85" s="175"/>
      <c r="AY85" s="175"/>
      <c r="AZ85" s="175"/>
      <c r="BA85" s="175"/>
      <c r="BB85" s="175"/>
      <c r="BC85" s="175"/>
      <c r="BD85" s="175"/>
      <c r="BE85" s="175"/>
    </row>
    <row r="86" spans="1:57">
      <c r="A86" s="175"/>
      <c r="B86" s="175"/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5"/>
      <c r="AM86" s="175"/>
      <c r="AN86" s="175"/>
      <c r="AO86" s="175"/>
      <c r="AP86" s="175"/>
      <c r="AQ86" s="175"/>
      <c r="AR86" s="175"/>
      <c r="AS86" s="175"/>
      <c r="AT86" s="175"/>
      <c r="AU86" s="175"/>
      <c r="AV86" s="175"/>
      <c r="AW86" s="175"/>
      <c r="AX86" s="175"/>
      <c r="AY86" s="175"/>
      <c r="AZ86" s="175"/>
      <c r="BA86" s="175"/>
      <c r="BB86" s="175"/>
      <c r="BC86" s="175"/>
      <c r="BD86" s="175"/>
      <c r="BE86" s="175"/>
    </row>
    <row r="87" spans="1:57">
      <c r="A87" s="175"/>
      <c r="B87" s="175"/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  <c r="AM87" s="175"/>
      <c r="AN87" s="175"/>
      <c r="AO87" s="175"/>
      <c r="AP87" s="175"/>
      <c r="AQ87" s="175"/>
      <c r="AR87" s="175"/>
      <c r="AS87" s="175"/>
      <c r="AT87" s="175"/>
      <c r="AU87" s="175"/>
      <c r="AV87" s="175"/>
      <c r="AW87" s="175"/>
      <c r="AX87" s="175"/>
      <c r="AY87" s="175"/>
      <c r="AZ87" s="175"/>
      <c r="BA87" s="175"/>
      <c r="BB87" s="175"/>
      <c r="BC87" s="175"/>
      <c r="BD87" s="175"/>
      <c r="BE87" s="175"/>
    </row>
    <row r="88" spans="1:57">
      <c r="A88" s="175"/>
      <c r="B88" s="175"/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  <c r="AM88" s="175"/>
      <c r="AN88" s="175"/>
      <c r="AO88" s="175"/>
      <c r="AP88" s="175"/>
      <c r="AQ88" s="175"/>
      <c r="AR88" s="175"/>
      <c r="AS88" s="175"/>
      <c r="AT88" s="175"/>
      <c r="AU88" s="175"/>
      <c r="AV88" s="175"/>
      <c r="AW88" s="175"/>
      <c r="AX88" s="175"/>
      <c r="AY88" s="175"/>
      <c r="AZ88" s="175"/>
      <c r="BA88" s="175"/>
      <c r="BB88" s="175"/>
      <c r="BC88" s="175"/>
      <c r="BD88" s="175"/>
      <c r="BE88" s="175"/>
    </row>
    <row r="89" spans="1:57">
      <c r="A89" s="175"/>
      <c r="B89" s="175"/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  <c r="AG89" s="175"/>
      <c r="AH89" s="175"/>
      <c r="AI89" s="175"/>
      <c r="AJ89" s="175"/>
      <c r="AK89" s="175"/>
      <c r="AL89" s="175"/>
      <c r="AM89" s="175"/>
      <c r="AN89" s="175"/>
      <c r="AO89" s="175"/>
      <c r="AP89" s="175"/>
      <c r="AQ89" s="175"/>
      <c r="AR89" s="175"/>
      <c r="AS89" s="175"/>
      <c r="AT89" s="175"/>
      <c r="AU89" s="175"/>
      <c r="AV89" s="175"/>
      <c r="AW89" s="175"/>
      <c r="AX89" s="175"/>
      <c r="AY89" s="175"/>
      <c r="AZ89" s="175"/>
      <c r="BA89" s="175"/>
      <c r="BB89" s="175"/>
      <c r="BC89" s="175"/>
      <c r="BD89" s="175"/>
      <c r="BE89" s="175"/>
    </row>
    <row r="90" spans="1:57">
      <c r="A90" s="175"/>
      <c r="B90" s="175"/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5"/>
      <c r="AK90" s="175"/>
      <c r="AL90" s="175"/>
      <c r="AM90" s="175"/>
      <c r="AN90" s="175"/>
      <c r="AO90" s="175"/>
      <c r="AP90" s="175"/>
      <c r="AQ90" s="175"/>
      <c r="AR90" s="175"/>
      <c r="AS90" s="175"/>
      <c r="AT90" s="175"/>
      <c r="AU90" s="175"/>
      <c r="AV90" s="175"/>
      <c r="AW90" s="175"/>
      <c r="AX90" s="175"/>
      <c r="AY90" s="175"/>
      <c r="AZ90" s="175"/>
      <c r="BA90" s="175"/>
      <c r="BB90" s="175"/>
      <c r="BC90" s="175"/>
      <c r="BD90" s="175"/>
      <c r="BE90" s="175"/>
    </row>
    <row r="91" spans="1:57">
      <c r="A91" s="175"/>
      <c r="B91" s="175"/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  <c r="AM91" s="175"/>
      <c r="AN91" s="175"/>
      <c r="AO91" s="175"/>
      <c r="AP91" s="175"/>
      <c r="AQ91" s="175"/>
      <c r="AR91" s="175"/>
      <c r="AS91" s="175"/>
      <c r="AT91" s="175"/>
      <c r="AU91" s="175"/>
      <c r="AV91" s="175"/>
      <c r="AW91" s="175"/>
      <c r="AX91" s="175"/>
      <c r="AY91" s="175"/>
      <c r="AZ91" s="175"/>
      <c r="BA91" s="175"/>
      <c r="BB91" s="175"/>
      <c r="BC91" s="175"/>
      <c r="BD91" s="175"/>
      <c r="BE91" s="175"/>
    </row>
    <row r="92" spans="1:57">
      <c r="A92" s="175"/>
      <c r="B92" s="175"/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  <c r="AM92" s="175"/>
      <c r="AN92" s="175"/>
      <c r="AO92" s="175"/>
      <c r="AP92" s="175"/>
      <c r="AQ92" s="175"/>
      <c r="AR92" s="175"/>
      <c r="AS92" s="175"/>
      <c r="AT92" s="175"/>
      <c r="AU92" s="175"/>
      <c r="AV92" s="175"/>
      <c r="AW92" s="175"/>
      <c r="AX92" s="175"/>
      <c r="AY92" s="175"/>
      <c r="AZ92" s="175"/>
      <c r="BA92" s="175"/>
      <c r="BB92" s="175"/>
      <c r="BC92" s="175"/>
      <c r="BD92" s="175"/>
      <c r="BE92" s="175"/>
    </row>
    <row r="93" spans="1:57">
      <c r="A93" s="175"/>
      <c r="B93" s="181" t="s">
        <v>231</v>
      </c>
      <c r="C93" s="181">
        <v>2</v>
      </c>
      <c r="D93" s="181" t="s">
        <v>60</v>
      </c>
      <c r="E93" s="181" t="s">
        <v>232</v>
      </c>
      <c r="F93" s="181">
        <v>292.39999999999998</v>
      </c>
      <c r="G93" s="181" t="s">
        <v>60</v>
      </c>
      <c r="H93" s="181" t="s">
        <v>211</v>
      </c>
      <c r="I93" s="181" t="s">
        <v>233</v>
      </c>
      <c r="J93" s="182">
        <f>F93/C93</f>
        <v>146.19999999999999</v>
      </c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  <c r="AG93" s="175"/>
      <c r="AH93" s="175"/>
      <c r="AI93" s="175"/>
      <c r="AJ93" s="175"/>
      <c r="AK93" s="175"/>
      <c r="AL93" s="175"/>
      <c r="AM93" s="175"/>
      <c r="AN93" s="175"/>
      <c r="AO93" s="175"/>
      <c r="AP93" s="175"/>
      <c r="AQ93" s="175"/>
      <c r="AR93" s="175"/>
      <c r="AS93" s="175"/>
      <c r="AT93" s="175"/>
      <c r="AU93" s="175"/>
      <c r="AV93" s="175"/>
      <c r="AW93" s="175"/>
      <c r="AX93" s="175"/>
      <c r="AY93" s="175"/>
      <c r="AZ93" s="175"/>
      <c r="BA93" s="175"/>
      <c r="BB93" s="175"/>
      <c r="BC93" s="175"/>
      <c r="BD93" s="175"/>
      <c r="BE93" s="175"/>
    </row>
    <row r="94" spans="1:57">
      <c r="A94" s="175"/>
      <c r="B94" s="175"/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  <c r="AF94" s="175"/>
      <c r="AG94" s="175"/>
      <c r="AH94" s="175"/>
      <c r="AI94" s="175"/>
      <c r="AJ94" s="175"/>
      <c r="AK94" s="175"/>
      <c r="AL94" s="175"/>
      <c r="AM94" s="175"/>
      <c r="AN94" s="175"/>
      <c r="AO94" s="175"/>
      <c r="AP94" s="175"/>
      <c r="AQ94" s="175"/>
      <c r="AR94" s="175"/>
      <c r="AS94" s="175"/>
      <c r="AT94" s="175"/>
      <c r="AU94" s="175"/>
      <c r="AV94" s="175"/>
      <c r="AW94" s="175"/>
      <c r="AX94" s="175"/>
      <c r="AY94" s="175"/>
      <c r="AZ94" s="175"/>
      <c r="BA94" s="175"/>
      <c r="BB94" s="175"/>
      <c r="BC94" s="175"/>
      <c r="BD94" s="175"/>
      <c r="BE94" s="175"/>
    </row>
    <row r="95" spans="1:57">
      <c r="A95" s="175"/>
      <c r="B95" s="175"/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H95" s="175"/>
      <c r="AI95" s="175"/>
      <c r="AJ95" s="175"/>
      <c r="AK95" s="175"/>
      <c r="AL95" s="175"/>
      <c r="AM95" s="175"/>
      <c r="AN95" s="175"/>
      <c r="AO95" s="175"/>
      <c r="AP95" s="175"/>
      <c r="AQ95" s="175"/>
      <c r="AR95" s="175"/>
      <c r="AS95" s="175"/>
      <c r="AT95" s="175"/>
      <c r="AU95" s="175"/>
      <c r="AV95" s="175"/>
      <c r="AW95" s="175"/>
      <c r="AX95" s="175"/>
      <c r="AY95" s="175"/>
      <c r="AZ95" s="175"/>
      <c r="BA95" s="175"/>
      <c r="BB95" s="175"/>
      <c r="BC95" s="175"/>
      <c r="BD95" s="175"/>
      <c r="BE95" s="175"/>
    </row>
    <row r="96" spans="1:57">
      <c r="A96" s="175"/>
      <c r="B96" s="175"/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175"/>
      <c r="AN96" s="175"/>
      <c r="AO96" s="175"/>
      <c r="AP96" s="175"/>
      <c r="AQ96" s="175"/>
      <c r="AR96" s="175"/>
      <c r="AS96" s="175"/>
      <c r="AT96" s="175"/>
      <c r="AU96" s="175"/>
      <c r="AV96" s="175"/>
      <c r="AW96" s="175"/>
      <c r="AX96" s="175"/>
      <c r="AY96" s="175"/>
      <c r="AZ96" s="175"/>
      <c r="BA96" s="175"/>
      <c r="BB96" s="175"/>
      <c r="BC96" s="175"/>
      <c r="BD96" s="175"/>
      <c r="BE96" s="175"/>
    </row>
    <row r="97" spans="1:57">
      <c r="A97" s="175"/>
      <c r="B97" s="175"/>
      <c r="C97" s="175"/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  <c r="AF97" s="175"/>
      <c r="AG97" s="175"/>
      <c r="AH97" s="175"/>
      <c r="AI97" s="175"/>
      <c r="AJ97" s="175"/>
      <c r="AK97" s="175"/>
      <c r="AL97" s="175"/>
      <c r="AM97" s="175"/>
      <c r="AN97" s="175"/>
      <c r="AO97" s="175"/>
      <c r="AP97" s="175"/>
      <c r="AQ97" s="175"/>
      <c r="AR97" s="175"/>
      <c r="AS97" s="175"/>
      <c r="AT97" s="175"/>
      <c r="AU97" s="175"/>
      <c r="AV97" s="175"/>
      <c r="AW97" s="175"/>
      <c r="AX97" s="175"/>
      <c r="AY97" s="175"/>
      <c r="AZ97" s="175"/>
      <c r="BA97" s="175"/>
      <c r="BB97" s="175"/>
      <c r="BC97" s="175"/>
      <c r="BD97" s="175"/>
      <c r="BE97" s="175"/>
    </row>
    <row r="98" spans="1:57">
      <c r="A98" s="175"/>
      <c r="B98" s="175"/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  <c r="AE98" s="175"/>
      <c r="AF98" s="175"/>
      <c r="AG98" s="175"/>
      <c r="AH98" s="175"/>
      <c r="AI98" s="175"/>
      <c r="AJ98" s="175"/>
      <c r="AK98" s="175"/>
      <c r="AL98" s="175"/>
      <c r="AM98" s="175"/>
      <c r="AN98" s="175"/>
      <c r="AO98" s="175"/>
      <c r="AP98" s="175"/>
      <c r="AQ98" s="175"/>
      <c r="AR98" s="175"/>
      <c r="AS98" s="175"/>
      <c r="AT98" s="175"/>
      <c r="AU98" s="175"/>
      <c r="AV98" s="175"/>
      <c r="AW98" s="175"/>
      <c r="AX98" s="175"/>
      <c r="AY98" s="175"/>
      <c r="AZ98" s="175"/>
      <c r="BA98" s="175"/>
      <c r="BB98" s="175"/>
      <c r="BC98" s="175"/>
      <c r="BD98" s="175"/>
      <c r="BE98" s="175"/>
    </row>
    <row r="99" spans="1:57">
      <c r="A99" s="175"/>
      <c r="B99" s="175"/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175"/>
      <c r="AN99" s="175"/>
      <c r="AO99" s="175"/>
      <c r="AP99" s="175"/>
      <c r="AQ99" s="175"/>
      <c r="AR99" s="175"/>
      <c r="AS99" s="175"/>
      <c r="AT99" s="175"/>
      <c r="AU99" s="175"/>
      <c r="AV99" s="175"/>
      <c r="AW99" s="175"/>
      <c r="AX99" s="175"/>
      <c r="AY99" s="175"/>
      <c r="AZ99" s="175"/>
      <c r="BA99" s="175"/>
      <c r="BB99" s="175"/>
      <c r="BC99" s="175"/>
      <c r="BD99" s="175"/>
      <c r="BE99" s="175"/>
    </row>
    <row r="100" spans="1:57">
      <c r="A100" s="175"/>
      <c r="B100" s="175"/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M100" s="175"/>
      <c r="AN100" s="175"/>
      <c r="AO100" s="175"/>
      <c r="AP100" s="175"/>
      <c r="AQ100" s="175"/>
      <c r="AR100" s="175"/>
      <c r="AS100" s="175"/>
      <c r="AT100" s="175"/>
      <c r="AU100" s="175"/>
      <c r="AV100" s="175"/>
      <c r="AW100" s="175"/>
      <c r="AX100" s="175"/>
      <c r="AY100" s="175"/>
      <c r="AZ100" s="175"/>
      <c r="BA100" s="175"/>
      <c r="BB100" s="175"/>
      <c r="BC100" s="175"/>
      <c r="BD100" s="175"/>
      <c r="BE100" s="175"/>
    </row>
  </sheetData>
  <mergeCells count="9">
    <mergeCell ref="B72:R72"/>
    <mergeCell ref="T1:AJ1"/>
    <mergeCell ref="T24:AJ24"/>
    <mergeCell ref="T48:AJ48"/>
    <mergeCell ref="AL1:BB1"/>
    <mergeCell ref="AL24:BB24"/>
    <mergeCell ref="AL48:BB48"/>
    <mergeCell ref="B24:R24"/>
    <mergeCell ref="B48:R4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BE100"/>
  <sheetViews>
    <sheetView workbookViewId="0"/>
  </sheetViews>
  <sheetFormatPr defaultRowHeight="15"/>
  <cols>
    <col min="1" max="1" width="2.7109375" customWidth="1"/>
  </cols>
  <sheetData>
    <row r="1" spans="1:57" ht="15.75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249" t="s">
        <v>234</v>
      </c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175"/>
      <c r="AL1" s="249" t="s">
        <v>234</v>
      </c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175"/>
      <c r="BD1" s="175"/>
      <c r="BE1" s="175"/>
    </row>
    <row r="2" spans="1:57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</row>
    <row r="3" spans="1:57">
      <c r="A3" s="175"/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</row>
    <row r="4" spans="1:57">
      <c r="A4" s="175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</row>
    <row r="5" spans="1:57">
      <c r="A5" s="175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</row>
    <row r="6" spans="1:57">
      <c r="A6" s="175"/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</row>
    <row r="7" spans="1:57">
      <c r="A7" s="175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</row>
    <row r="8" spans="1:57">
      <c r="A8" s="175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</row>
    <row r="9" spans="1:57">
      <c r="A9" s="175"/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</row>
    <row r="10" spans="1:57">
      <c r="A10" s="175"/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</row>
    <row r="11" spans="1:57">
      <c r="A11" s="175"/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</row>
    <row r="12" spans="1:57">
      <c r="A12" s="175"/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</row>
    <row r="13" spans="1:57">
      <c r="A13" s="175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</row>
    <row r="14" spans="1:57">
      <c r="A14" s="175"/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</row>
    <row r="15" spans="1:57">
      <c r="A15" s="175"/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</row>
    <row r="16" spans="1:57">
      <c r="A16" s="175"/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</row>
    <row r="17" spans="1:57">
      <c r="A17" s="175"/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</row>
    <row r="18" spans="1:57">
      <c r="A18" s="175"/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5"/>
      <c r="AQ18" s="175"/>
      <c r="AR18" s="175"/>
      <c r="AS18" s="175"/>
      <c r="AT18" s="175"/>
      <c r="AU18" s="175"/>
      <c r="AV18" s="175"/>
      <c r="AW18" s="175"/>
      <c r="AX18" s="175"/>
      <c r="AY18" s="175"/>
      <c r="AZ18" s="175"/>
      <c r="BA18" s="175"/>
      <c r="BB18" s="175"/>
      <c r="BC18" s="175"/>
      <c r="BD18" s="175"/>
      <c r="BE18" s="175"/>
    </row>
    <row r="19" spans="1:57">
      <c r="A19" s="175"/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5"/>
      <c r="AQ19" s="175"/>
      <c r="AR19" s="175"/>
      <c r="AS19" s="175"/>
      <c r="AT19" s="175"/>
      <c r="AU19" s="175"/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</row>
    <row r="20" spans="1:57">
      <c r="A20" s="175"/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5"/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5"/>
      <c r="BB20" s="175"/>
      <c r="BC20" s="175"/>
      <c r="BD20" s="175"/>
      <c r="BE20" s="175"/>
    </row>
    <row r="21" spans="1:57">
      <c r="A21" s="175"/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5"/>
      <c r="AQ21" s="175"/>
      <c r="AR21" s="175"/>
      <c r="AS21" s="175"/>
      <c r="AT21" s="175"/>
      <c r="AU21" s="175"/>
      <c r="AV21" s="175"/>
      <c r="AW21" s="175"/>
      <c r="AX21" s="175"/>
      <c r="AY21" s="175"/>
      <c r="AZ21" s="175"/>
      <c r="BA21" s="175"/>
      <c r="BB21" s="175"/>
      <c r="BC21" s="175"/>
      <c r="BD21" s="175"/>
      <c r="BE21" s="175"/>
    </row>
    <row r="22" spans="1:57">
      <c r="A22" s="175"/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81" t="s">
        <v>237</v>
      </c>
      <c r="U22" s="181"/>
      <c r="V22" s="181"/>
      <c r="W22" s="181"/>
      <c r="X22" s="181" t="s">
        <v>238</v>
      </c>
      <c r="Y22" s="181">
        <v>5</v>
      </c>
      <c r="Z22" s="181" t="s">
        <v>239</v>
      </c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81" t="s">
        <v>242</v>
      </c>
      <c r="AM22" s="181"/>
      <c r="AN22" s="181"/>
      <c r="AO22" s="181"/>
      <c r="AP22" s="181" t="s">
        <v>238</v>
      </c>
      <c r="AQ22" s="181">
        <v>39</v>
      </c>
      <c r="AR22" s="181" t="s">
        <v>243</v>
      </c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175"/>
      <c r="BD22" s="175"/>
      <c r="BE22" s="175"/>
    </row>
    <row r="23" spans="1:57">
      <c r="A23" s="175"/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</row>
    <row r="24" spans="1:57" ht="15.75">
      <c r="A24" s="175"/>
      <c r="B24" s="249" t="s">
        <v>234</v>
      </c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175"/>
      <c r="T24" s="249" t="s">
        <v>235</v>
      </c>
      <c r="U24" s="249"/>
      <c r="V24" s="249"/>
      <c r="W24" s="249"/>
      <c r="X24" s="249"/>
      <c r="Y24" s="249"/>
      <c r="Z24" s="249"/>
      <c r="AA24" s="249"/>
      <c r="AB24" s="249"/>
      <c r="AC24" s="249"/>
      <c r="AD24" s="249"/>
      <c r="AE24" s="249"/>
      <c r="AF24" s="249"/>
      <c r="AG24" s="249"/>
      <c r="AH24" s="249"/>
      <c r="AI24" s="249"/>
      <c r="AJ24" s="249"/>
      <c r="AK24" s="175"/>
      <c r="AL24" s="249" t="s">
        <v>235</v>
      </c>
      <c r="AM24" s="249"/>
      <c r="AN24" s="249"/>
      <c r="AO24" s="249"/>
      <c r="AP24" s="249"/>
      <c r="AQ24" s="249"/>
      <c r="AR24" s="249"/>
      <c r="AS24" s="249"/>
      <c r="AT24" s="249"/>
      <c r="AU24" s="249"/>
      <c r="AV24" s="249"/>
      <c r="AW24" s="249"/>
      <c r="AX24" s="249"/>
      <c r="AY24" s="249"/>
      <c r="AZ24" s="249"/>
      <c r="BA24" s="249"/>
      <c r="BB24" s="249"/>
      <c r="BC24" s="175"/>
      <c r="BD24" s="175"/>
      <c r="BE24" s="175"/>
    </row>
    <row r="25" spans="1:57">
      <c r="A25" s="175"/>
      <c r="B25" s="175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</row>
    <row r="26" spans="1:57">
      <c r="A26" s="175"/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</row>
    <row r="27" spans="1:57">
      <c r="A27" s="175"/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</row>
    <row r="28" spans="1:57">
      <c r="A28" s="175"/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</row>
    <row r="29" spans="1:57">
      <c r="A29" s="175"/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</row>
    <row r="30" spans="1:57">
      <c r="A30" s="175"/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</row>
    <row r="31" spans="1:57">
      <c r="A31" s="175"/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</row>
    <row r="32" spans="1:57">
      <c r="A32" s="175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</row>
    <row r="33" spans="1:57">
      <c r="A33" s="175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</row>
    <row r="34" spans="1:57">
      <c r="A34" s="175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5"/>
      <c r="AO34" s="175"/>
      <c r="AP34" s="175"/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5"/>
      <c r="BB34" s="175"/>
      <c r="BC34" s="175"/>
      <c r="BD34" s="175"/>
      <c r="BE34" s="175"/>
    </row>
    <row r="35" spans="1:57">
      <c r="A35" s="175"/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</row>
    <row r="36" spans="1:57">
      <c r="A36" s="175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5"/>
      <c r="BE36" s="175"/>
    </row>
    <row r="37" spans="1:57">
      <c r="A37" s="175"/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</row>
    <row r="38" spans="1:57">
      <c r="A38" s="175"/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</row>
    <row r="39" spans="1:57">
      <c r="A39" s="175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</row>
    <row r="40" spans="1:57">
      <c r="A40" s="175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</row>
    <row r="41" spans="1:57">
      <c r="A41" s="175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</row>
    <row r="42" spans="1:57">
      <c r="A42" s="175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</row>
    <row r="43" spans="1:57">
      <c r="A43" s="175"/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</row>
    <row r="44" spans="1:57">
      <c r="A44" s="175"/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</row>
    <row r="45" spans="1:57">
      <c r="A45" s="175"/>
      <c r="B45" s="181" t="s">
        <v>231</v>
      </c>
      <c r="C45" s="181">
        <v>2</v>
      </c>
      <c r="D45" s="181" t="s">
        <v>60</v>
      </c>
      <c r="E45" s="181" t="s">
        <v>232</v>
      </c>
      <c r="F45" s="181">
        <v>5.8205999999999998</v>
      </c>
      <c r="G45" s="181" t="s">
        <v>60</v>
      </c>
      <c r="H45" s="181" t="s">
        <v>211</v>
      </c>
      <c r="I45" s="181" t="s">
        <v>233</v>
      </c>
      <c r="J45" s="182">
        <f>F45/C45</f>
        <v>2.9102999999999999</v>
      </c>
      <c r="K45" s="175"/>
      <c r="L45" s="175"/>
      <c r="M45" s="175"/>
      <c r="N45" s="175"/>
      <c r="O45" s="175"/>
      <c r="P45" s="175"/>
      <c r="Q45" s="175"/>
      <c r="R45" s="175"/>
      <c r="S45" s="175"/>
      <c r="T45" s="181" t="s">
        <v>240</v>
      </c>
      <c r="U45" s="181"/>
      <c r="V45" s="181"/>
      <c r="W45" s="181"/>
      <c r="X45" s="181" t="s">
        <v>238</v>
      </c>
      <c r="Y45" s="181">
        <v>8</v>
      </c>
      <c r="Z45" s="181" t="s">
        <v>239</v>
      </c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81" t="s">
        <v>244</v>
      </c>
      <c r="AM45" s="181"/>
      <c r="AN45" s="181"/>
      <c r="AO45" s="181"/>
      <c r="AP45" s="181" t="s">
        <v>238</v>
      </c>
      <c r="AQ45" s="181">
        <v>47</v>
      </c>
      <c r="AR45" s="181" t="s">
        <v>243</v>
      </c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</row>
    <row r="46" spans="1:57">
      <c r="A46" s="175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</row>
    <row r="47" spans="1:57">
      <c r="A47" s="175"/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</row>
    <row r="48" spans="1:57" ht="15.75">
      <c r="A48" s="175"/>
      <c r="B48" s="249" t="s">
        <v>235</v>
      </c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  <c r="R48" s="249"/>
      <c r="S48" s="175"/>
      <c r="T48" s="249" t="s">
        <v>236</v>
      </c>
      <c r="U48" s="249"/>
      <c r="V48" s="249"/>
      <c r="W48" s="249"/>
      <c r="X48" s="249"/>
      <c r="Y48" s="249"/>
      <c r="Z48" s="249"/>
      <c r="AA48" s="249"/>
      <c r="AB48" s="249"/>
      <c r="AC48" s="249"/>
      <c r="AD48" s="249"/>
      <c r="AE48" s="249"/>
      <c r="AF48" s="249"/>
      <c r="AG48" s="249"/>
      <c r="AH48" s="249"/>
      <c r="AI48" s="249"/>
      <c r="AJ48" s="249"/>
      <c r="AK48" s="175"/>
      <c r="AL48" s="249" t="s">
        <v>236</v>
      </c>
      <c r="AM48" s="249"/>
      <c r="AN48" s="249"/>
      <c r="AO48" s="249"/>
      <c r="AP48" s="249"/>
      <c r="AQ48" s="249"/>
      <c r="AR48" s="249"/>
      <c r="AS48" s="249"/>
      <c r="AT48" s="249"/>
      <c r="AU48" s="249"/>
      <c r="AV48" s="249"/>
      <c r="AW48" s="249"/>
      <c r="AX48" s="249"/>
      <c r="AY48" s="249"/>
      <c r="AZ48" s="249"/>
      <c r="BA48" s="249"/>
      <c r="BB48" s="249"/>
      <c r="BC48" s="175"/>
      <c r="BD48" s="175"/>
      <c r="BE48" s="175"/>
    </row>
    <row r="49" spans="1:57">
      <c r="A49" s="175"/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</row>
    <row r="50" spans="1:57">
      <c r="A50" s="175"/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</row>
    <row r="51" spans="1:57">
      <c r="A51" s="175"/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75"/>
      <c r="BC51" s="175"/>
      <c r="BD51" s="175"/>
      <c r="BE51" s="175"/>
    </row>
    <row r="52" spans="1:57">
      <c r="A52" s="175"/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</row>
    <row r="53" spans="1:5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</row>
    <row r="54" spans="1:57">
      <c r="A54" s="175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</row>
    <row r="55" spans="1:57">
      <c r="A55" s="175"/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  <c r="AZ55" s="175"/>
      <c r="BA55" s="175"/>
      <c r="BB55" s="175"/>
      <c r="BC55" s="175"/>
      <c r="BD55" s="175"/>
      <c r="BE55" s="175"/>
    </row>
    <row r="56" spans="1:57">
      <c r="A56" s="175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</row>
    <row r="57" spans="1:57">
      <c r="A57" s="175"/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</row>
    <row r="58" spans="1:57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</row>
    <row r="59" spans="1:57">
      <c r="A59" s="175"/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  <c r="AM59" s="175"/>
      <c r="AN59" s="175"/>
      <c r="AO59" s="175"/>
      <c r="AP59" s="175"/>
      <c r="AQ59" s="175"/>
      <c r="AR59" s="175"/>
      <c r="AS59" s="175"/>
      <c r="AT59" s="175"/>
      <c r="AU59" s="175"/>
      <c r="AV59" s="175"/>
      <c r="AW59" s="175"/>
      <c r="AX59" s="175"/>
      <c r="AY59" s="175"/>
      <c r="AZ59" s="175"/>
      <c r="BA59" s="175"/>
      <c r="BB59" s="175"/>
      <c r="BC59" s="175"/>
      <c r="BD59" s="175"/>
      <c r="BE59" s="175"/>
    </row>
    <row r="60" spans="1:57">
      <c r="A60" s="175"/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5"/>
      <c r="AM60" s="175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</row>
    <row r="61" spans="1:57">
      <c r="A61" s="175"/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  <c r="AM61" s="175"/>
      <c r="AN61" s="175"/>
      <c r="AO61" s="175"/>
      <c r="AP61" s="175"/>
      <c r="AQ61" s="175"/>
      <c r="AR61" s="175"/>
      <c r="AS61" s="175"/>
      <c r="AT61" s="175"/>
      <c r="AU61" s="175"/>
      <c r="AV61" s="175"/>
      <c r="AW61" s="175"/>
      <c r="AX61" s="175"/>
      <c r="AY61" s="175"/>
      <c r="AZ61" s="175"/>
      <c r="BA61" s="175"/>
      <c r="BB61" s="175"/>
      <c r="BC61" s="175"/>
      <c r="BD61" s="175"/>
      <c r="BE61" s="175"/>
    </row>
    <row r="62" spans="1:57">
      <c r="A62" s="175"/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5"/>
      <c r="AQ62" s="175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</row>
    <row r="63" spans="1:57">
      <c r="A63" s="175"/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  <c r="AM63" s="175"/>
      <c r="AN63" s="175"/>
      <c r="AO63" s="175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  <c r="AZ63" s="175"/>
      <c r="BA63" s="175"/>
      <c r="BB63" s="175"/>
      <c r="BC63" s="175"/>
      <c r="BD63" s="175"/>
      <c r="BE63" s="175"/>
    </row>
    <row r="64" spans="1:57">
      <c r="A64" s="175"/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  <c r="AM64" s="175"/>
      <c r="AN64" s="175"/>
      <c r="AO64" s="175"/>
      <c r="AP64" s="175"/>
      <c r="AQ64" s="175"/>
      <c r="AR64" s="175"/>
      <c r="AS64" s="175"/>
      <c r="AT64" s="175"/>
      <c r="AU64" s="175"/>
      <c r="AV64" s="175"/>
      <c r="AW64" s="175"/>
      <c r="AX64" s="175"/>
      <c r="AY64" s="175"/>
      <c r="AZ64" s="175"/>
      <c r="BA64" s="175"/>
      <c r="BB64" s="175"/>
      <c r="BC64" s="175"/>
      <c r="BD64" s="175"/>
      <c r="BE64" s="175"/>
    </row>
    <row r="65" spans="1:57">
      <c r="A65" s="175"/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5"/>
      <c r="AM65" s="175"/>
      <c r="AN65" s="175"/>
      <c r="AO65" s="175"/>
      <c r="AP65" s="175"/>
      <c r="AQ65" s="175"/>
      <c r="AR65" s="175"/>
      <c r="AS65" s="175"/>
      <c r="AT65" s="175"/>
      <c r="AU65" s="175"/>
      <c r="AV65" s="175"/>
      <c r="AW65" s="175"/>
      <c r="AX65" s="175"/>
      <c r="AY65" s="175"/>
      <c r="AZ65" s="175"/>
      <c r="BA65" s="175"/>
      <c r="BB65" s="175"/>
      <c r="BC65" s="175"/>
      <c r="BD65" s="175"/>
      <c r="BE65" s="175"/>
    </row>
    <row r="66" spans="1:57">
      <c r="A66" s="175"/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  <c r="AM66" s="175"/>
      <c r="AN66" s="175"/>
      <c r="AO66" s="175"/>
      <c r="AP66" s="175"/>
      <c r="AQ66" s="175"/>
      <c r="AR66" s="175"/>
      <c r="AS66" s="175"/>
      <c r="AT66" s="175"/>
      <c r="AU66" s="175"/>
      <c r="AV66" s="175"/>
      <c r="AW66" s="175"/>
      <c r="AX66" s="175"/>
      <c r="AY66" s="175"/>
      <c r="AZ66" s="175"/>
      <c r="BA66" s="175"/>
      <c r="BB66" s="175"/>
      <c r="BC66" s="175"/>
      <c r="BD66" s="175"/>
      <c r="BE66" s="175"/>
    </row>
    <row r="67" spans="1:57">
      <c r="A67" s="175"/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5"/>
      <c r="AM67" s="175"/>
      <c r="AN67" s="175"/>
      <c r="AO67" s="175"/>
      <c r="AP67" s="175"/>
      <c r="AQ67" s="175"/>
      <c r="AR67" s="175"/>
      <c r="AS67" s="175"/>
      <c r="AT67" s="175"/>
      <c r="AU67" s="175"/>
      <c r="AV67" s="175"/>
      <c r="AW67" s="175"/>
      <c r="AX67" s="175"/>
      <c r="AY67" s="175"/>
      <c r="AZ67" s="175"/>
      <c r="BA67" s="175"/>
      <c r="BB67" s="175"/>
      <c r="BC67" s="175"/>
      <c r="BD67" s="175"/>
      <c r="BE67" s="175"/>
    </row>
    <row r="68" spans="1:57">
      <c r="A68" s="175"/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5"/>
      <c r="AQ68" s="175"/>
      <c r="AR68" s="175"/>
      <c r="AS68" s="175"/>
      <c r="AT68" s="175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</row>
    <row r="69" spans="1:57">
      <c r="A69" s="175"/>
      <c r="B69" s="181" t="s">
        <v>231</v>
      </c>
      <c r="C69" s="181">
        <v>2</v>
      </c>
      <c r="D69" s="181" t="s">
        <v>60</v>
      </c>
      <c r="E69" s="181" t="s">
        <v>232</v>
      </c>
      <c r="F69" s="181">
        <v>5.2712000000000003</v>
      </c>
      <c r="G69" s="181" t="s">
        <v>60</v>
      </c>
      <c r="H69" s="181" t="s">
        <v>211</v>
      </c>
      <c r="I69" s="181" t="s">
        <v>233</v>
      </c>
      <c r="J69" s="182">
        <f>F69/C69</f>
        <v>2.6356000000000002</v>
      </c>
      <c r="K69" s="175"/>
      <c r="L69" s="175"/>
      <c r="M69" s="175"/>
      <c r="N69" s="175"/>
      <c r="O69" s="175"/>
      <c r="P69" s="175"/>
      <c r="Q69" s="175"/>
      <c r="R69" s="175"/>
      <c r="S69" s="175"/>
      <c r="T69" s="181" t="s">
        <v>241</v>
      </c>
      <c r="U69" s="181"/>
      <c r="V69" s="181"/>
      <c r="W69" s="181"/>
      <c r="X69" s="181" t="s">
        <v>238</v>
      </c>
      <c r="Y69" s="181">
        <v>45</v>
      </c>
      <c r="Z69" s="181" t="s">
        <v>239</v>
      </c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81" t="s">
        <v>245</v>
      </c>
      <c r="AM69" s="181"/>
      <c r="AN69" s="181"/>
      <c r="AO69" s="181"/>
      <c r="AP69" s="181" t="s">
        <v>238</v>
      </c>
      <c r="AQ69" s="181">
        <v>25</v>
      </c>
      <c r="AR69" s="181" t="s">
        <v>243</v>
      </c>
      <c r="AS69" s="175"/>
      <c r="AT69" s="175"/>
      <c r="AU69" s="175"/>
      <c r="AV69" s="175"/>
      <c r="AW69" s="175"/>
      <c r="AX69" s="175"/>
      <c r="AY69" s="175"/>
      <c r="AZ69" s="175"/>
      <c r="BA69" s="175"/>
      <c r="BB69" s="175"/>
      <c r="BC69" s="175"/>
      <c r="BD69" s="175"/>
      <c r="BE69" s="175"/>
    </row>
    <row r="70" spans="1:57">
      <c r="A70" s="175"/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5"/>
      <c r="AM70" s="175"/>
      <c r="AN70" s="175"/>
      <c r="AO70" s="175"/>
      <c r="AP70" s="175"/>
      <c r="AQ70" s="175"/>
      <c r="AR70" s="175"/>
      <c r="AS70" s="175"/>
      <c r="AT70" s="175"/>
      <c r="AU70" s="175"/>
      <c r="AV70" s="175"/>
      <c r="AW70" s="175"/>
      <c r="AX70" s="175"/>
      <c r="AY70" s="175"/>
      <c r="AZ70" s="175"/>
      <c r="BA70" s="175"/>
      <c r="BB70" s="175"/>
      <c r="BC70" s="175"/>
      <c r="BD70" s="175"/>
      <c r="BE70" s="175"/>
    </row>
    <row r="71" spans="1:57">
      <c r="A71" s="175"/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5"/>
      <c r="AM71" s="175"/>
      <c r="AN71" s="175"/>
      <c r="AO71" s="175"/>
      <c r="AP71" s="175"/>
      <c r="AQ71" s="175"/>
      <c r="AR71" s="175"/>
      <c r="AS71" s="175"/>
      <c r="AT71" s="175"/>
      <c r="AU71" s="175"/>
      <c r="AV71" s="175"/>
      <c r="AW71" s="175"/>
      <c r="AX71" s="175"/>
      <c r="AY71" s="175"/>
      <c r="AZ71" s="175"/>
      <c r="BA71" s="175"/>
      <c r="BB71" s="175"/>
      <c r="BC71" s="175"/>
      <c r="BD71" s="175"/>
      <c r="BE71" s="175"/>
    </row>
    <row r="72" spans="1:57" ht="15.75">
      <c r="A72" s="175"/>
      <c r="B72" s="249" t="s">
        <v>236</v>
      </c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  <c r="R72" s="249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5"/>
      <c r="AM72" s="175"/>
      <c r="AN72" s="175"/>
      <c r="AO72" s="175"/>
      <c r="AP72" s="175"/>
      <c r="AQ72" s="175"/>
      <c r="AR72" s="175"/>
      <c r="AS72" s="175"/>
      <c r="AT72" s="175"/>
      <c r="AU72" s="175"/>
      <c r="AV72" s="175"/>
      <c r="AW72" s="175"/>
      <c r="AX72" s="175"/>
      <c r="AY72" s="175"/>
      <c r="AZ72" s="175"/>
      <c r="BA72" s="175"/>
      <c r="BB72" s="175"/>
      <c r="BC72" s="175"/>
      <c r="BD72" s="175"/>
      <c r="BE72" s="175"/>
    </row>
    <row r="73" spans="1:57">
      <c r="A73" s="175"/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5"/>
      <c r="AM73" s="175"/>
      <c r="AN73" s="175"/>
      <c r="AO73" s="175"/>
      <c r="AP73" s="175"/>
      <c r="AQ73" s="175"/>
      <c r="AR73" s="175"/>
      <c r="AS73" s="175"/>
      <c r="AT73" s="175"/>
      <c r="AU73" s="175"/>
      <c r="AV73" s="175"/>
      <c r="AW73" s="175"/>
      <c r="AX73" s="175"/>
      <c r="AY73" s="175"/>
      <c r="AZ73" s="175"/>
      <c r="BA73" s="175"/>
      <c r="BB73" s="175"/>
      <c r="BC73" s="175"/>
      <c r="BD73" s="175"/>
      <c r="BE73" s="175"/>
    </row>
    <row r="74" spans="1:57">
      <c r="A74" s="175"/>
      <c r="B74" s="175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5"/>
      <c r="AM74" s="175"/>
      <c r="AN74" s="175"/>
      <c r="AO74" s="175"/>
      <c r="AP74" s="175"/>
      <c r="AQ74" s="175"/>
      <c r="AR74" s="175"/>
      <c r="AS74" s="175"/>
      <c r="AT74" s="175"/>
      <c r="AU74" s="175"/>
      <c r="AV74" s="175"/>
      <c r="AW74" s="175"/>
      <c r="AX74" s="175"/>
      <c r="AY74" s="175"/>
      <c r="AZ74" s="175"/>
      <c r="BA74" s="175"/>
      <c r="BB74" s="175"/>
      <c r="BC74" s="175"/>
      <c r="BD74" s="175"/>
      <c r="BE74" s="175"/>
    </row>
    <row r="75" spans="1:57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5"/>
      <c r="AM75" s="175"/>
      <c r="AN75" s="175"/>
      <c r="AO75" s="175"/>
      <c r="AP75" s="175"/>
      <c r="AQ75" s="175"/>
      <c r="AR75" s="175"/>
      <c r="AS75" s="175"/>
      <c r="AT75" s="175"/>
      <c r="AU75" s="175"/>
      <c r="AV75" s="175"/>
      <c r="AW75" s="175"/>
      <c r="AX75" s="175"/>
      <c r="AY75" s="175"/>
      <c r="AZ75" s="175"/>
      <c r="BA75" s="175"/>
      <c r="BB75" s="175"/>
      <c r="BC75" s="175"/>
      <c r="BD75" s="175"/>
      <c r="BE75" s="175"/>
    </row>
    <row r="76" spans="1:57">
      <c r="A76" s="175"/>
      <c r="B76" s="175"/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H76" s="175"/>
      <c r="AI76" s="175"/>
      <c r="AJ76" s="175"/>
      <c r="AK76" s="175"/>
      <c r="AL76" s="175"/>
      <c r="AM76" s="175"/>
      <c r="AN76" s="175"/>
      <c r="AO76" s="175"/>
      <c r="AP76" s="175"/>
      <c r="AQ76" s="175"/>
      <c r="AR76" s="175"/>
      <c r="AS76" s="175"/>
      <c r="AT76" s="175"/>
      <c r="AU76" s="175"/>
      <c r="AV76" s="175"/>
      <c r="AW76" s="175"/>
      <c r="AX76" s="175"/>
      <c r="AY76" s="175"/>
      <c r="AZ76" s="175"/>
      <c r="BA76" s="175"/>
      <c r="BB76" s="175"/>
      <c r="BC76" s="175"/>
      <c r="BD76" s="175"/>
      <c r="BE76" s="175"/>
    </row>
    <row r="77" spans="1:57">
      <c r="A77" s="175"/>
      <c r="B77" s="175"/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  <c r="AI77" s="175"/>
      <c r="AJ77" s="175"/>
      <c r="AK77" s="175"/>
      <c r="AL77" s="175"/>
      <c r="AM77" s="175"/>
      <c r="AN77" s="175"/>
      <c r="AO77" s="175"/>
      <c r="AP77" s="175"/>
      <c r="AQ77" s="175"/>
      <c r="AR77" s="175"/>
      <c r="AS77" s="175"/>
      <c r="AT77" s="175"/>
      <c r="AU77" s="175"/>
      <c r="AV77" s="175"/>
      <c r="AW77" s="175"/>
      <c r="AX77" s="175"/>
      <c r="AY77" s="175"/>
      <c r="AZ77" s="175"/>
      <c r="BA77" s="175"/>
      <c r="BB77" s="175"/>
      <c r="BC77" s="175"/>
      <c r="BD77" s="175"/>
      <c r="BE77" s="175"/>
    </row>
    <row r="78" spans="1:57">
      <c r="A78" s="175"/>
      <c r="B78" s="175"/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H78" s="175"/>
      <c r="AI78" s="175"/>
      <c r="AJ78" s="175"/>
      <c r="AK78" s="175"/>
      <c r="AL78" s="175"/>
      <c r="AM78" s="175"/>
      <c r="AN78" s="175"/>
      <c r="AO78" s="175"/>
      <c r="AP78" s="175"/>
      <c r="AQ78" s="175"/>
      <c r="AR78" s="175"/>
      <c r="AS78" s="175"/>
      <c r="AT78" s="175"/>
      <c r="AU78" s="175"/>
      <c r="AV78" s="175"/>
      <c r="AW78" s="175"/>
      <c r="AX78" s="175"/>
      <c r="AY78" s="175"/>
      <c r="AZ78" s="175"/>
      <c r="BA78" s="175"/>
      <c r="BB78" s="175"/>
      <c r="BC78" s="175"/>
      <c r="BD78" s="175"/>
      <c r="BE78" s="175"/>
    </row>
    <row r="79" spans="1:57">
      <c r="A79" s="175"/>
      <c r="B79" s="175"/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  <c r="AM79" s="175"/>
      <c r="AN79" s="175"/>
      <c r="AO79" s="175"/>
      <c r="AP79" s="175"/>
      <c r="AQ79" s="175"/>
      <c r="AR79" s="175"/>
      <c r="AS79" s="175"/>
      <c r="AT79" s="175"/>
      <c r="AU79" s="175"/>
      <c r="AV79" s="175"/>
      <c r="AW79" s="175"/>
      <c r="AX79" s="175"/>
      <c r="AY79" s="175"/>
      <c r="AZ79" s="175"/>
      <c r="BA79" s="175"/>
      <c r="BB79" s="175"/>
      <c r="BC79" s="175"/>
      <c r="BD79" s="175"/>
      <c r="BE79" s="175"/>
    </row>
    <row r="80" spans="1:57">
      <c r="A80" s="175"/>
      <c r="B80" s="175"/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175"/>
      <c r="AN80" s="175"/>
      <c r="AO80" s="175"/>
      <c r="AP80" s="175"/>
      <c r="AQ80" s="175"/>
      <c r="AR80" s="175"/>
      <c r="AS80" s="175"/>
      <c r="AT80" s="175"/>
      <c r="AU80" s="175"/>
      <c r="AV80" s="175"/>
      <c r="AW80" s="175"/>
      <c r="AX80" s="175"/>
      <c r="AY80" s="175"/>
      <c r="AZ80" s="175"/>
      <c r="BA80" s="175"/>
      <c r="BB80" s="175"/>
      <c r="BC80" s="175"/>
      <c r="BD80" s="175"/>
      <c r="BE80" s="175"/>
    </row>
    <row r="81" spans="1:57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  <c r="AM81" s="175"/>
      <c r="AN81" s="175"/>
      <c r="AO81" s="175"/>
      <c r="AP81" s="175"/>
      <c r="AQ81" s="175"/>
      <c r="AR81" s="175"/>
      <c r="AS81" s="175"/>
      <c r="AT81" s="175"/>
      <c r="AU81" s="175"/>
      <c r="AV81" s="175"/>
      <c r="AW81" s="175"/>
      <c r="AX81" s="175"/>
      <c r="AY81" s="175"/>
      <c r="AZ81" s="175"/>
      <c r="BA81" s="175"/>
      <c r="BB81" s="175"/>
      <c r="BC81" s="175"/>
      <c r="BD81" s="175"/>
      <c r="BE81" s="175"/>
    </row>
    <row r="82" spans="1:57">
      <c r="A82" s="175"/>
      <c r="B82" s="175"/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H82" s="175"/>
      <c r="AI82" s="175"/>
      <c r="AJ82" s="175"/>
      <c r="AK82" s="175"/>
      <c r="AL82" s="175"/>
      <c r="AM82" s="175"/>
      <c r="AN82" s="175"/>
      <c r="AO82" s="175"/>
      <c r="AP82" s="175"/>
      <c r="AQ82" s="175"/>
      <c r="AR82" s="175"/>
      <c r="AS82" s="175"/>
      <c r="AT82" s="175"/>
      <c r="AU82" s="175"/>
      <c r="AV82" s="175"/>
      <c r="AW82" s="175"/>
      <c r="AX82" s="175"/>
      <c r="AY82" s="175"/>
      <c r="AZ82" s="175"/>
      <c r="BA82" s="175"/>
      <c r="BB82" s="175"/>
      <c r="BC82" s="175"/>
      <c r="BD82" s="175"/>
      <c r="BE82" s="175"/>
    </row>
    <row r="83" spans="1:57">
      <c r="A83" s="175"/>
      <c r="B83" s="175"/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  <c r="AM83" s="175"/>
      <c r="AN83" s="175"/>
      <c r="AO83" s="175"/>
      <c r="AP83" s="175"/>
      <c r="AQ83" s="175"/>
      <c r="AR83" s="175"/>
      <c r="AS83" s="175"/>
      <c r="AT83" s="175"/>
      <c r="AU83" s="175"/>
      <c r="AV83" s="175"/>
      <c r="AW83" s="175"/>
      <c r="AX83" s="175"/>
      <c r="AY83" s="175"/>
      <c r="AZ83" s="175"/>
      <c r="BA83" s="175"/>
      <c r="BB83" s="175"/>
      <c r="BC83" s="175"/>
      <c r="BD83" s="175"/>
      <c r="BE83" s="175"/>
    </row>
    <row r="84" spans="1:57">
      <c r="A84" s="175"/>
      <c r="B84" s="175"/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175"/>
      <c r="AL84" s="175"/>
      <c r="AM84" s="175"/>
      <c r="AN84" s="175"/>
      <c r="AO84" s="175"/>
      <c r="AP84" s="175"/>
      <c r="AQ84" s="175"/>
      <c r="AR84" s="175"/>
      <c r="AS84" s="175"/>
      <c r="AT84" s="175"/>
      <c r="AU84" s="175"/>
      <c r="AV84" s="175"/>
      <c r="AW84" s="175"/>
      <c r="AX84" s="175"/>
      <c r="AY84" s="175"/>
      <c r="AZ84" s="175"/>
      <c r="BA84" s="175"/>
      <c r="BB84" s="175"/>
      <c r="BC84" s="175"/>
      <c r="BD84" s="175"/>
      <c r="BE84" s="175"/>
    </row>
    <row r="85" spans="1:57">
      <c r="A85" s="175"/>
      <c r="B85" s="175"/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H85" s="175"/>
      <c r="AI85" s="175"/>
      <c r="AJ85" s="175"/>
      <c r="AK85" s="175"/>
      <c r="AL85" s="175"/>
      <c r="AM85" s="175"/>
      <c r="AN85" s="175"/>
      <c r="AO85" s="175"/>
      <c r="AP85" s="175"/>
      <c r="AQ85" s="175"/>
      <c r="AR85" s="175"/>
      <c r="AS85" s="175"/>
      <c r="AT85" s="175"/>
      <c r="AU85" s="175"/>
      <c r="AV85" s="175"/>
      <c r="AW85" s="175"/>
      <c r="AX85" s="175"/>
      <c r="AY85" s="175"/>
      <c r="AZ85" s="175"/>
      <c r="BA85" s="175"/>
      <c r="BB85" s="175"/>
      <c r="BC85" s="175"/>
      <c r="BD85" s="175"/>
      <c r="BE85" s="175"/>
    </row>
    <row r="86" spans="1:57">
      <c r="A86" s="175"/>
      <c r="B86" s="175"/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5"/>
      <c r="AM86" s="175"/>
      <c r="AN86" s="175"/>
      <c r="AO86" s="175"/>
      <c r="AP86" s="175"/>
      <c r="AQ86" s="175"/>
      <c r="AR86" s="175"/>
      <c r="AS86" s="175"/>
      <c r="AT86" s="175"/>
      <c r="AU86" s="175"/>
      <c r="AV86" s="175"/>
      <c r="AW86" s="175"/>
      <c r="AX86" s="175"/>
      <c r="AY86" s="175"/>
      <c r="AZ86" s="175"/>
      <c r="BA86" s="175"/>
      <c r="BB86" s="175"/>
      <c r="BC86" s="175"/>
      <c r="BD86" s="175"/>
      <c r="BE86" s="175"/>
    </row>
    <row r="87" spans="1:57">
      <c r="A87" s="175"/>
      <c r="B87" s="175"/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  <c r="AM87" s="175"/>
      <c r="AN87" s="175"/>
      <c r="AO87" s="175"/>
      <c r="AP87" s="175"/>
      <c r="AQ87" s="175"/>
      <c r="AR87" s="175"/>
      <c r="AS87" s="175"/>
      <c r="AT87" s="175"/>
      <c r="AU87" s="175"/>
      <c r="AV87" s="175"/>
      <c r="AW87" s="175"/>
      <c r="AX87" s="175"/>
      <c r="AY87" s="175"/>
      <c r="AZ87" s="175"/>
      <c r="BA87" s="175"/>
      <c r="BB87" s="175"/>
      <c r="BC87" s="175"/>
      <c r="BD87" s="175"/>
      <c r="BE87" s="175"/>
    </row>
    <row r="88" spans="1:57">
      <c r="A88" s="175"/>
      <c r="B88" s="175"/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  <c r="AM88" s="175"/>
      <c r="AN88" s="175"/>
      <c r="AO88" s="175"/>
      <c r="AP88" s="175"/>
      <c r="AQ88" s="175"/>
      <c r="AR88" s="175"/>
      <c r="AS88" s="175"/>
      <c r="AT88" s="175"/>
      <c r="AU88" s="175"/>
      <c r="AV88" s="175"/>
      <c r="AW88" s="175"/>
      <c r="AX88" s="175"/>
      <c r="AY88" s="175"/>
      <c r="AZ88" s="175"/>
      <c r="BA88" s="175"/>
      <c r="BB88" s="175"/>
      <c r="BC88" s="175"/>
      <c r="BD88" s="175"/>
      <c r="BE88" s="175"/>
    </row>
    <row r="89" spans="1:57">
      <c r="A89" s="175"/>
      <c r="B89" s="175"/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  <c r="AG89" s="175"/>
      <c r="AH89" s="175"/>
      <c r="AI89" s="175"/>
      <c r="AJ89" s="175"/>
      <c r="AK89" s="175"/>
      <c r="AL89" s="175"/>
      <c r="AM89" s="175"/>
      <c r="AN89" s="175"/>
      <c r="AO89" s="175"/>
      <c r="AP89" s="175"/>
      <c r="AQ89" s="175"/>
      <c r="AR89" s="175"/>
      <c r="AS89" s="175"/>
      <c r="AT89" s="175"/>
      <c r="AU89" s="175"/>
      <c r="AV89" s="175"/>
      <c r="AW89" s="175"/>
      <c r="AX89" s="175"/>
      <c r="AY89" s="175"/>
      <c r="AZ89" s="175"/>
      <c r="BA89" s="175"/>
      <c r="BB89" s="175"/>
      <c r="BC89" s="175"/>
      <c r="BD89" s="175"/>
      <c r="BE89" s="175"/>
    </row>
    <row r="90" spans="1:57">
      <c r="A90" s="175"/>
      <c r="B90" s="175"/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5"/>
      <c r="AK90" s="175"/>
      <c r="AL90" s="175"/>
      <c r="AM90" s="175"/>
      <c r="AN90" s="175"/>
      <c r="AO90" s="175"/>
      <c r="AP90" s="175"/>
      <c r="AQ90" s="175"/>
      <c r="AR90" s="175"/>
      <c r="AS90" s="175"/>
      <c r="AT90" s="175"/>
      <c r="AU90" s="175"/>
      <c r="AV90" s="175"/>
      <c r="AW90" s="175"/>
      <c r="AX90" s="175"/>
      <c r="AY90" s="175"/>
      <c r="AZ90" s="175"/>
      <c r="BA90" s="175"/>
      <c r="BB90" s="175"/>
      <c r="BC90" s="175"/>
      <c r="BD90" s="175"/>
      <c r="BE90" s="175"/>
    </row>
    <row r="91" spans="1:57">
      <c r="A91" s="175"/>
      <c r="B91" s="175"/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  <c r="AM91" s="175"/>
      <c r="AN91" s="175"/>
      <c r="AO91" s="175"/>
      <c r="AP91" s="175"/>
      <c r="AQ91" s="175"/>
      <c r="AR91" s="175"/>
      <c r="AS91" s="175"/>
      <c r="AT91" s="175"/>
      <c r="AU91" s="175"/>
      <c r="AV91" s="175"/>
      <c r="AW91" s="175"/>
      <c r="AX91" s="175"/>
      <c r="AY91" s="175"/>
      <c r="AZ91" s="175"/>
      <c r="BA91" s="175"/>
      <c r="BB91" s="175"/>
      <c r="BC91" s="175"/>
      <c r="BD91" s="175"/>
      <c r="BE91" s="175"/>
    </row>
    <row r="92" spans="1:57">
      <c r="A92" s="175"/>
      <c r="B92" s="175"/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  <c r="AM92" s="175"/>
      <c r="AN92" s="175"/>
      <c r="AO92" s="175"/>
      <c r="AP92" s="175"/>
      <c r="AQ92" s="175"/>
      <c r="AR92" s="175"/>
      <c r="AS92" s="175"/>
      <c r="AT92" s="175"/>
      <c r="AU92" s="175"/>
      <c r="AV92" s="175"/>
      <c r="AW92" s="175"/>
      <c r="AX92" s="175"/>
      <c r="AY92" s="175"/>
      <c r="AZ92" s="175"/>
      <c r="BA92" s="175"/>
      <c r="BB92" s="175"/>
      <c r="BC92" s="175"/>
      <c r="BD92" s="175"/>
      <c r="BE92" s="175"/>
    </row>
    <row r="93" spans="1:57">
      <c r="A93" s="175"/>
      <c r="B93" s="181" t="s">
        <v>231</v>
      </c>
      <c r="C93" s="181">
        <v>2</v>
      </c>
      <c r="D93" s="181" t="s">
        <v>60</v>
      </c>
      <c r="E93" s="181" t="s">
        <v>232</v>
      </c>
      <c r="F93" s="181">
        <v>206.65</v>
      </c>
      <c r="G93" s="181" t="s">
        <v>60</v>
      </c>
      <c r="H93" s="181" t="s">
        <v>211</v>
      </c>
      <c r="I93" s="181" t="s">
        <v>233</v>
      </c>
      <c r="J93" s="182">
        <f>F93/C93</f>
        <v>103.325</v>
      </c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  <c r="AG93" s="175"/>
      <c r="AH93" s="175"/>
      <c r="AI93" s="175"/>
      <c r="AJ93" s="175"/>
      <c r="AK93" s="175"/>
      <c r="AL93" s="175"/>
      <c r="AM93" s="175"/>
      <c r="AN93" s="175"/>
      <c r="AO93" s="175"/>
      <c r="AP93" s="175"/>
      <c r="AQ93" s="175"/>
      <c r="AR93" s="175"/>
      <c r="AS93" s="175"/>
      <c r="AT93" s="175"/>
      <c r="AU93" s="175"/>
      <c r="AV93" s="175"/>
      <c r="AW93" s="175"/>
      <c r="AX93" s="175"/>
      <c r="AY93" s="175"/>
      <c r="AZ93" s="175"/>
      <c r="BA93" s="175"/>
      <c r="BB93" s="175"/>
      <c r="BC93" s="175"/>
      <c r="BD93" s="175"/>
      <c r="BE93" s="175"/>
    </row>
    <row r="94" spans="1:57">
      <c r="A94" s="175"/>
      <c r="B94" s="175"/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  <c r="AF94" s="175"/>
      <c r="AG94" s="175"/>
      <c r="AH94" s="175"/>
      <c r="AI94" s="175"/>
      <c r="AJ94" s="175"/>
      <c r="AK94" s="175"/>
      <c r="AL94" s="175"/>
      <c r="AM94" s="175"/>
      <c r="AN94" s="175"/>
      <c r="AO94" s="175"/>
      <c r="AP94" s="175"/>
      <c r="AQ94" s="175"/>
      <c r="AR94" s="175"/>
      <c r="AS94" s="175"/>
      <c r="AT94" s="175"/>
      <c r="AU94" s="175"/>
      <c r="AV94" s="175"/>
      <c r="AW94" s="175"/>
      <c r="AX94" s="175"/>
      <c r="AY94" s="175"/>
      <c r="AZ94" s="175"/>
      <c r="BA94" s="175"/>
      <c r="BB94" s="175"/>
      <c r="BC94" s="175"/>
      <c r="BD94" s="175"/>
      <c r="BE94" s="175"/>
    </row>
    <row r="95" spans="1:57">
      <c r="A95" s="175"/>
      <c r="B95" s="175"/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H95" s="175"/>
      <c r="AI95" s="175"/>
      <c r="AJ95" s="175"/>
      <c r="AK95" s="175"/>
      <c r="AL95" s="175"/>
      <c r="AM95" s="175"/>
      <c r="AN95" s="175"/>
      <c r="AO95" s="175"/>
      <c r="AP95" s="175"/>
      <c r="AQ95" s="175"/>
      <c r="AR95" s="175"/>
      <c r="AS95" s="175"/>
      <c r="AT95" s="175"/>
      <c r="AU95" s="175"/>
      <c r="AV95" s="175"/>
      <c r="AW95" s="175"/>
      <c r="AX95" s="175"/>
      <c r="AY95" s="175"/>
      <c r="AZ95" s="175"/>
      <c r="BA95" s="175"/>
      <c r="BB95" s="175"/>
      <c r="BC95" s="175"/>
      <c r="BD95" s="175"/>
      <c r="BE95" s="175"/>
    </row>
    <row r="96" spans="1:57">
      <c r="A96" s="175"/>
      <c r="B96" s="175"/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175"/>
      <c r="AN96" s="175"/>
      <c r="AO96" s="175"/>
      <c r="AP96" s="175"/>
      <c r="AQ96" s="175"/>
      <c r="AR96" s="175"/>
      <c r="AS96" s="175"/>
      <c r="AT96" s="175"/>
      <c r="AU96" s="175"/>
      <c r="AV96" s="175"/>
      <c r="AW96" s="175"/>
      <c r="AX96" s="175"/>
      <c r="AY96" s="175"/>
      <c r="AZ96" s="175"/>
      <c r="BA96" s="175"/>
      <c r="BB96" s="175"/>
      <c r="BC96" s="175"/>
      <c r="BD96" s="175"/>
      <c r="BE96" s="175"/>
    </row>
    <row r="97" spans="1:57">
      <c r="A97" s="175"/>
      <c r="B97" s="175"/>
      <c r="C97" s="175"/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  <c r="AF97" s="175"/>
      <c r="AG97" s="175"/>
      <c r="AH97" s="175"/>
      <c r="AI97" s="175"/>
      <c r="AJ97" s="175"/>
      <c r="AK97" s="175"/>
      <c r="AL97" s="175"/>
      <c r="AM97" s="175"/>
      <c r="AN97" s="175"/>
      <c r="AO97" s="175"/>
      <c r="AP97" s="175"/>
      <c r="AQ97" s="175"/>
      <c r="AR97" s="175"/>
      <c r="AS97" s="175"/>
      <c r="AT97" s="175"/>
      <c r="AU97" s="175"/>
      <c r="AV97" s="175"/>
      <c r="AW97" s="175"/>
      <c r="AX97" s="175"/>
      <c r="AY97" s="175"/>
      <c r="AZ97" s="175"/>
      <c r="BA97" s="175"/>
      <c r="BB97" s="175"/>
      <c r="BC97" s="175"/>
      <c r="BD97" s="175"/>
      <c r="BE97" s="175"/>
    </row>
    <row r="98" spans="1:57">
      <c r="A98" s="175"/>
      <c r="B98" s="175"/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  <c r="AE98" s="175"/>
      <c r="AF98" s="175"/>
      <c r="AG98" s="175"/>
      <c r="AH98" s="175"/>
      <c r="AI98" s="175"/>
      <c r="AJ98" s="175"/>
      <c r="AK98" s="175"/>
      <c r="AL98" s="175"/>
      <c r="AM98" s="175"/>
      <c r="AN98" s="175"/>
      <c r="AO98" s="175"/>
      <c r="AP98" s="175"/>
      <c r="AQ98" s="175"/>
      <c r="AR98" s="175"/>
      <c r="AS98" s="175"/>
      <c r="AT98" s="175"/>
      <c r="AU98" s="175"/>
      <c r="AV98" s="175"/>
      <c r="AW98" s="175"/>
      <c r="AX98" s="175"/>
      <c r="AY98" s="175"/>
      <c r="AZ98" s="175"/>
      <c r="BA98" s="175"/>
      <c r="BB98" s="175"/>
      <c r="BC98" s="175"/>
      <c r="BD98" s="175"/>
      <c r="BE98" s="175"/>
    </row>
    <row r="99" spans="1:57">
      <c r="A99" s="175"/>
      <c r="B99" s="175"/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175"/>
      <c r="AN99" s="175"/>
      <c r="AO99" s="175"/>
      <c r="AP99" s="175"/>
      <c r="AQ99" s="175"/>
      <c r="AR99" s="175"/>
      <c r="AS99" s="175"/>
      <c r="AT99" s="175"/>
      <c r="AU99" s="175"/>
      <c r="AV99" s="175"/>
      <c r="AW99" s="175"/>
      <c r="AX99" s="175"/>
      <c r="AY99" s="175"/>
      <c r="AZ99" s="175"/>
      <c r="BA99" s="175"/>
      <c r="BB99" s="175"/>
      <c r="BC99" s="175"/>
      <c r="BD99" s="175"/>
      <c r="BE99" s="175"/>
    </row>
    <row r="100" spans="1:57">
      <c r="A100" s="175"/>
      <c r="B100" s="175"/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M100" s="175"/>
      <c r="AN100" s="175"/>
      <c r="AO100" s="175"/>
      <c r="AP100" s="175"/>
      <c r="AQ100" s="175"/>
      <c r="AR100" s="175"/>
      <c r="AS100" s="175"/>
      <c r="AT100" s="175"/>
      <c r="AU100" s="175"/>
      <c r="AV100" s="175"/>
      <c r="AW100" s="175"/>
      <c r="AX100" s="175"/>
      <c r="AY100" s="175"/>
      <c r="AZ100" s="175"/>
      <c r="BA100" s="175"/>
      <c r="BB100" s="175"/>
      <c r="BC100" s="175"/>
      <c r="BD100" s="175"/>
      <c r="BE100" s="175"/>
    </row>
  </sheetData>
  <mergeCells count="9">
    <mergeCell ref="B72:R72"/>
    <mergeCell ref="T1:AJ1"/>
    <mergeCell ref="T24:AJ24"/>
    <mergeCell ref="T48:AJ48"/>
    <mergeCell ref="AL48:BB48"/>
    <mergeCell ref="AL24:BB24"/>
    <mergeCell ref="AL1:BB1"/>
    <mergeCell ref="B24:R24"/>
    <mergeCell ref="B48:R4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Ark2"/>
  <dimension ref="A1:S25"/>
  <sheetViews>
    <sheetView workbookViewId="0"/>
  </sheetViews>
  <sheetFormatPr defaultRowHeight="15"/>
  <cols>
    <col min="1" max="1" width="8.85546875" customWidth="1"/>
    <col min="2" max="17" width="9.7109375" customWidth="1"/>
    <col min="18" max="18" width="15.28515625" customWidth="1"/>
  </cols>
  <sheetData>
    <row r="1" spans="1:19" ht="18.75">
      <c r="A1" s="112"/>
      <c r="B1" s="251" t="s">
        <v>202</v>
      </c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132"/>
      <c r="S1" s="131"/>
    </row>
    <row r="2" spans="1:19" ht="18" customHeight="1">
      <c r="A2" s="113"/>
      <c r="B2" s="223" t="s">
        <v>84</v>
      </c>
      <c r="C2" s="223"/>
      <c r="D2" s="223"/>
      <c r="E2" s="223"/>
      <c r="F2" s="223"/>
      <c r="G2" s="223"/>
      <c r="H2" s="223"/>
      <c r="I2" s="223"/>
      <c r="J2" s="114"/>
      <c r="K2" s="223" t="s">
        <v>87</v>
      </c>
      <c r="L2" s="223"/>
      <c r="M2" s="223"/>
      <c r="N2" s="223"/>
      <c r="O2" s="223"/>
      <c r="P2" s="223"/>
      <c r="Q2" s="223"/>
      <c r="R2" s="250"/>
    </row>
    <row r="3" spans="1:19" ht="18" customHeight="1">
      <c r="A3" s="113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5"/>
    </row>
    <row r="4" spans="1:19" ht="18" customHeight="1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5"/>
    </row>
    <row r="5" spans="1:19" ht="18" customHeight="1">
      <c r="A5" s="113"/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5"/>
    </row>
    <row r="6" spans="1:19" ht="18" customHeight="1">
      <c r="A6" s="113"/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5"/>
    </row>
    <row r="7" spans="1:19" ht="18" customHeight="1">
      <c r="A7" s="113"/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5"/>
    </row>
    <row r="8" spans="1:19" ht="18" customHeight="1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5"/>
    </row>
    <row r="9" spans="1:19" ht="18" customHeight="1">
      <c r="A9" s="113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5"/>
    </row>
    <row r="10" spans="1:19" ht="18" customHeight="1">
      <c r="A10" s="113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5"/>
    </row>
    <row r="11" spans="1:19" ht="18" customHeight="1">
      <c r="A11" s="113"/>
      <c r="B11" s="114"/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5"/>
    </row>
    <row r="12" spans="1:19" ht="18" customHeight="1">
      <c r="A12" s="113"/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5"/>
    </row>
    <row r="13" spans="1:19" ht="18" customHeight="1">
      <c r="A13" s="113"/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5"/>
    </row>
    <row r="14" spans="1:19" ht="18" customHeight="1">
      <c r="A14" s="113"/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5"/>
    </row>
    <row r="15" spans="1:19" ht="18" customHeight="1">
      <c r="A15" s="113"/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5"/>
    </row>
    <row r="16" spans="1:19" ht="18" customHeight="1">
      <c r="A16" s="113"/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5"/>
    </row>
    <row r="17" spans="1:18" ht="18" customHeight="1">
      <c r="A17" s="113"/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5"/>
    </row>
    <row r="18" spans="1:18" ht="18" customHeight="1">
      <c r="A18" s="113"/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5"/>
    </row>
    <row r="19" spans="1:18" ht="18" customHeight="1">
      <c r="A19" s="113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5"/>
    </row>
    <row r="20" spans="1:18" ht="18" customHeight="1">
      <c r="A20" s="113"/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5"/>
    </row>
    <row r="21" spans="1:18" ht="18" customHeight="1">
      <c r="A21" s="113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5"/>
    </row>
    <row r="22" spans="1:18" ht="18" customHeight="1">
      <c r="A22" s="113"/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5"/>
    </row>
    <row r="23" spans="1:18" ht="18" customHeight="1">
      <c r="A23" s="113"/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5"/>
    </row>
    <row r="24" spans="1:18" ht="18" customHeight="1">
      <c r="A24" s="113"/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5"/>
    </row>
    <row r="25" spans="1:18" ht="18" customHeight="1" thickBot="1">
      <c r="A25" s="116"/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8"/>
    </row>
  </sheetData>
  <mergeCells count="3">
    <mergeCell ref="B2:I2"/>
    <mergeCell ref="K2:R2"/>
    <mergeCell ref="B1:Q1"/>
  </mergeCells>
  <hyperlinks>
    <hyperlink ref="B2" r:id="rId1"/>
    <hyperlink ref="K2" r:id="rId2" location="c2 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7</vt:i4>
      </vt:variant>
    </vt:vector>
  </HeadingPairs>
  <TitlesOfParts>
    <vt:vector size="7" baseType="lpstr">
      <vt:lpstr>NPN</vt:lpstr>
      <vt:lpstr>PNP</vt:lpstr>
      <vt:lpstr>2N2222A</vt:lpstr>
      <vt:lpstr>BC547B</vt:lpstr>
      <vt:lpstr>2N2907A</vt:lpstr>
      <vt:lpstr>BC557B</vt:lpstr>
      <vt:lpstr>Q point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Jørgen Walter</dc:creator>
  <cp:lastModifiedBy>Walter</cp:lastModifiedBy>
  <dcterms:created xsi:type="dcterms:W3CDTF">2014-06-18T05:43:58Z</dcterms:created>
  <dcterms:modified xsi:type="dcterms:W3CDTF">2018-10-31T21:21:49Z</dcterms:modified>
</cp:coreProperties>
</file>