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90" windowWidth="20100" windowHeight="8760"/>
  </bookViews>
  <sheets>
    <sheet name="Zener DK" sheetId="3" r:id="rId1"/>
    <sheet name="Zener UK" sheetId="2" r:id="rId2"/>
    <sheet name="TL431 DK" sheetId="4" r:id="rId3"/>
    <sheet name="TL431 UK" sheetId="5" r:id="rId4"/>
  </sheets>
  <calcPr calcId="125725"/>
</workbook>
</file>

<file path=xl/calcChain.xml><?xml version="1.0" encoding="utf-8"?>
<calcChain xmlns="http://schemas.openxmlformats.org/spreadsheetml/2006/main">
  <c r="M6" i="5"/>
  <c r="D6"/>
  <c r="G38"/>
  <c r="C37"/>
  <c r="B32"/>
  <c r="F14"/>
  <c r="E14"/>
  <c r="G8"/>
  <c r="D24" s="1"/>
  <c r="F8"/>
  <c r="D43" s="1"/>
  <c r="E8"/>
  <c r="D34" s="1"/>
  <c r="L5"/>
  <c r="J5"/>
  <c r="E8" i="4"/>
  <c r="D34" s="1"/>
  <c r="F8"/>
  <c r="D43" s="1"/>
  <c r="G8"/>
  <c r="D24" s="1"/>
  <c r="M6"/>
  <c r="G38"/>
  <c r="C37"/>
  <c r="B32"/>
  <c r="D6"/>
  <c r="J5"/>
  <c r="L5" s="1"/>
  <c r="E14"/>
  <c r="D32" i="2"/>
  <c r="D32" i="3"/>
  <c r="G31" i="2"/>
  <c r="D31"/>
  <c r="C31"/>
  <c r="F23"/>
  <c r="F23" i="3"/>
  <c r="C31"/>
  <c r="D31"/>
  <c r="G31"/>
  <c r="D5"/>
  <c r="O23"/>
  <c r="G15"/>
  <c r="L14" s="1"/>
  <c r="G14"/>
  <c r="L9" s="1"/>
  <c r="O23" i="2"/>
  <c r="D5"/>
  <c r="G14"/>
  <c r="L9" s="1"/>
  <c r="G15"/>
  <c r="D24" i="3" l="1"/>
  <c r="D24" i="2"/>
  <c r="G14" i="5"/>
  <c r="G24" s="1"/>
  <c r="E16"/>
  <c r="L14" i="2"/>
  <c r="G18" s="1"/>
  <c r="H31" s="1"/>
  <c r="G18" i="3"/>
  <c r="H31" s="1"/>
  <c r="L6"/>
  <c r="M23"/>
  <c r="M23" i="2"/>
  <c r="L6"/>
  <c r="H5" i="5" l="1"/>
  <c r="H6" s="1"/>
  <c r="I5"/>
  <c r="K5" s="1"/>
  <c r="M7" s="1"/>
  <c r="E37" s="1"/>
  <c r="C23" i="3"/>
  <c r="G16"/>
  <c r="D23" s="1"/>
  <c r="G16" i="2"/>
  <c r="D23" s="1"/>
  <c r="C23"/>
  <c r="N27" i="3"/>
  <c r="P27"/>
  <c r="N27" i="2"/>
  <c r="P27"/>
  <c r="G33" i="5" l="1"/>
  <c r="L18" i="3"/>
  <c r="G17" s="1"/>
  <c r="F31" s="1"/>
  <c r="L18" i="2"/>
  <c r="O29" i="3"/>
  <c r="O29" i="2"/>
  <c r="F17" i="3" l="1"/>
  <c r="G17" i="2"/>
  <c r="F17" l="1"/>
  <c r="F31"/>
  <c r="F14" i="4"/>
  <c r="G14" l="1"/>
  <c r="I5" s="1"/>
  <c r="K5" s="1"/>
  <c r="M7" s="1"/>
  <c r="E37" s="1"/>
  <c r="E16"/>
  <c r="G24" l="1"/>
  <c r="H5"/>
  <c r="G33" l="1"/>
  <c r="H6"/>
</calcChain>
</file>

<file path=xl/sharedStrings.xml><?xml version="1.0" encoding="utf-8"?>
<sst xmlns="http://schemas.openxmlformats.org/spreadsheetml/2006/main" count="246" uniqueCount="142">
  <si>
    <t>mA</t>
  </si>
  <si>
    <t>Ω</t>
  </si>
  <si>
    <t>Zener Diode as Voltage Regulators - Design a Voltage Regulator</t>
  </si>
  <si>
    <t>Maximum current for Zener diode</t>
  </si>
  <si>
    <t>Volt</t>
  </si>
  <si>
    <t>Calculating voltage and current </t>
  </si>
  <si>
    <t>The total current drawn from the source is the same as that through the series resistor</t>
  </si>
  <si>
    <t>The current through the load resistor is</t>
  </si>
  <si>
    <t>The zener diode current is </t>
  </si>
  <si>
    <t>If the voltage source is greater than Vz</t>
  </si>
  <si>
    <t>and</t>
  </si>
  <si>
    <t>If the voltage source is less than Vz</t>
  </si>
  <si>
    <t>Rs = Vs/Is=</t>
  </si>
  <si>
    <t>Sum</t>
  </si>
  <si>
    <t>Zener type:</t>
  </si>
  <si>
    <t>Imax</t>
  </si>
  <si>
    <t>Vz    Zener Diode standard  voltage </t>
  </si>
  <si>
    <t>Vs    Voltage across series resistance</t>
  </si>
  <si>
    <t>VL    Voltage across the load resistance</t>
  </si>
  <si>
    <t>Is    Current passing through the series resistance</t>
  </si>
  <si>
    <t>Iz    Current passing through the Zener diode</t>
  </si>
  <si>
    <t>IL    Current passing through the load resistance</t>
  </si>
  <si>
    <t>Vin   Input voltage</t>
  </si>
  <si>
    <t>RL     Load Resistor</t>
  </si>
  <si>
    <t>The yellow cells can be changed.</t>
  </si>
  <si>
    <t>Remove RL means inserting an infinitely large resistance</t>
  </si>
  <si>
    <t>walter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</si>
  <si>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</si>
  <si>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</si>
  <si>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</si>
  <si>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If RL is not known but the current which the load use,</t>
  </si>
  <si>
    <t>Data:</t>
  </si>
  <si>
    <t>Zener Diode som Spændingsregulatorer - Design en spændingsregulator</t>
  </si>
  <si>
    <t>Beregning af spænding og strøm</t>
  </si>
  <si>
    <t>Den samlede strøm trukket fra strømforsyningen er den samme som gennem seriemodstanden</t>
  </si>
  <si>
    <t>Strømmen gennem belastningsmodstanden er</t>
  </si>
  <si>
    <t>Når du vælger zenerdioder, skal du sørge for, at dens maksimale effekt ikke overskrides</t>
  </si>
  <si>
    <t>When selecting the zener diode, be sure that its maximum power rating is not exceeded</t>
  </si>
  <si>
    <t>Zenerdiodens strøm er</t>
  </si>
  <si>
    <t>Hvis spændingskilden er større end Vz</t>
  </si>
  <si>
    <t>Hvis spændingskilden er mindre end Vz</t>
  </si>
  <si>
    <t>De gule celler kan ændres.</t>
  </si>
  <si>
    <t>Developed by Jørgen Walter ©</t>
  </si>
  <si>
    <t>RL belastning modstand</t>
  </si>
  <si>
    <t>Vz Zener Diode standard spænding</t>
  </si>
  <si>
    <t>Vin Indgangsspænding</t>
  </si>
  <si>
    <t>Vs spænding over seriemodstanden</t>
  </si>
  <si>
    <t>VL spænding over belastningen modstanden</t>
  </si>
  <si>
    <t>Iz strømmen gennem Zenerdioden</t>
  </si>
  <si>
    <t>IL strømmen gennem belastningsmodstanden</t>
  </si>
  <si>
    <t>Reg. No. 1271</t>
  </si>
  <si>
    <t>Hvis RL ikke er kendt, men strømmen som belastningen bruger er kendt,</t>
  </si>
  <si>
    <t>IZT [test strøm]</t>
  </si>
  <si>
    <t>Vs/IZT =</t>
  </si>
  <si>
    <t>Anbefalet min strøm for Zener diode</t>
  </si>
  <si>
    <t>Rs min. beregnet uden RL [Load]      ved anbefalet max. strøm</t>
  </si>
  <si>
    <t>Recommended min. current of Zener diode</t>
  </si>
  <si>
    <t>Rs min. calculated without RL [Load]     at the recommended max. current</t>
  </si>
  <si>
    <t>IZT [test current]</t>
  </si>
  <si>
    <t>RsT max. beregnet uden RL [Load]     ved anbefalet min. strøm</t>
  </si>
  <si>
    <t>RsT max. calculated without RL [Load]      at the recommended min. current</t>
  </si>
  <si>
    <t>RsT [test strøm]  Se datablad</t>
  </si>
  <si>
    <t>RsT [test current]  See Data Sheet</t>
  </si>
  <si>
    <t>Fjern RL betyder at indsætte en uendelig stor modstand</t>
  </si>
  <si>
    <t>lav så en "hvad nu hvis-analyse" m.h.t. RL.</t>
  </si>
  <si>
    <t>simply make a "what if analysis" in terms of RL.</t>
  </si>
  <si>
    <t>Is    strømmen gennem seriemodstanden</t>
  </si>
  <si>
    <t>Ptot  Zener max. Power. Leads min 8 mm from case</t>
  </si>
  <si>
    <t>Ptot Zener max. Effekt. Tråd min 8 mm fra krop.</t>
  </si>
  <si>
    <t>Der er 5 eksempler på Zener dioder 1500mW, 1000 mW, 500mW og 250mW</t>
  </si>
  <si>
    <t>There are 5 examples of Zener Diodes 1500mW, 1000mW, 500mW and 250mW</t>
  </si>
  <si>
    <t>BZX85C3V3</t>
  </si>
  <si>
    <t>1500mW 3,1 to 3,5V</t>
  </si>
  <si>
    <t xml:space="preserve"> Ω</t>
  </si>
  <si>
    <t xml:space="preserve"> Volt</t>
  </si>
  <si>
    <t xml:space="preserve"> mA</t>
  </si>
  <si>
    <t xml:space="preserve"> mWatt</t>
  </si>
  <si>
    <t>Vs</t>
  </si>
  <si>
    <t>IC</t>
  </si>
  <si>
    <t>Vin</t>
  </si>
  <si>
    <t>R1</t>
  </si>
  <si>
    <t>R2</t>
  </si>
  <si>
    <t>R3</t>
  </si>
  <si>
    <t>TL431</t>
  </si>
  <si>
    <t>VR1</t>
  </si>
  <si>
    <t>VR2</t>
  </si>
  <si>
    <t>IR1</t>
  </si>
  <si>
    <t>IR2</t>
  </si>
  <si>
    <t>Vi ønsker at finde VO ved at indsætte de rigtige værdier i de gule celler</t>
  </si>
  <si>
    <t>Vref [nominel]</t>
  </si>
  <si>
    <t>Adjustable Precision Shunt Regulators</t>
  </si>
  <si>
    <t>Low Voltage Adjustable Precision Shunt Regulator</t>
  </si>
  <si>
    <t xml:space="preserve"> volt</t>
  </si>
  <si>
    <t xml:space="preserve"> Type</t>
  </si>
  <si>
    <t xml:space="preserve"> uA</t>
  </si>
  <si>
    <t xml:space="preserve">Icathode </t>
  </si>
  <si>
    <r>
      <t xml:space="preserve">Vo = </t>
    </r>
    <r>
      <rPr>
        <sz val="12"/>
        <color rgb="FF0070C0"/>
        <rFont val="Calibri"/>
        <family val="2"/>
        <scheme val="minor"/>
      </rPr>
      <t>Vref*(1+R1/R2)</t>
    </r>
    <r>
      <rPr>
        <sz val="12"/>
        <color theme="1"/>
        <rFont val="Calibri"/>
        <family val="2"/>
        <scheme val="minor"/>
      </rPr>
      <t>+</t>
    </r>
    <r>
      <rPr>
        <sz val="12"/>
        <color rgb="FFFF0000"/>
        <rFont val="Calibri"/>
        <family val="2"/>
        <scheme val="minor"/>
      </rPr>
      <t>(Iref*R1)</t>
    </r>
    <r>
      <rPr>
        <sz val="12"/>
        <color theme="1"/>
        <rFont val="Calibri"/>
        <family val="2"/>
        <scheme val="minor"/>
      </rPr>
      <t xml:space="preserve"> =</t>
    </r>
  </si>
  <si>
    <r>
      <rPr>
        <sz val="12"/>
        <color rgb="FFFF0000"/>
        <rFont val="Calibri"/>
        <family val="2"/>
        <scheme val="minor"/>
      </rPr>
      <t>(Iref*R1)</t>
    </r>
    <r>
      <rPr>
        <sz val="12"/>
        <color theme="1"/>
        <rFont val="Calibri"/>
        <family val="2"/>
        <scheme val="minor"/>
      </rPr>
      <t xml:space="preserve">  udgør </t>
    </r>
  </si>
  <si>
    <r>
      <t xml:space="preserve">af </t>
    </r>
    <r>
      <rPr>
        <sz val="12"/>
        <color rgb="FF0070C0"/>
        <rFont val="Calibri"/>
        <family val="2"/>
        <scheme val="minor"/>
      </rPr>
      <t xml:space="preserve"> Vref*(1+R1/R2)</t>
    </r>
  </si>
  <si>
    <t>Fremgangsmåde for bestemmelse af Vout:</t>
  </si>
  <si>
    <t>1. Vælg din "Shunt Regulator" type</t>
  </si>
  <si>
    <t>2. Indsæt Vref for typen</t>
  </si>
  <si>
    <t>3. Indsæt Vin og kontroller, at den er inden for det tilladelige for typen</t>
  </si>
  <si>
    <t>4. Vælg en værdi for R3, så Icathode værdien ikke overskrides</t>
  </si>
  <si>
    <r>
      <t>5. Vælg R1 til 10 k</t>
    </r>
    <r>
      <rPr>
        <sz val="12"/>
        <color theme="1"/>
        <rFont val="Calibri"/>
        <family val="2"/>
      </rPr>
      <t>Ω og R2 til 10 MΩ [husk at indsætte i Ω]</t>
    </r>
  </si>
  <si>
    <t>6. Aflæs Vo og hvis den ikke passer med kravet, lav en "Hvad hvis analyse" m.h.t. R2</t>
  </si>
  <si>
    <t>7. Aflæs derefter celle M7, indsæt værdien i celle M5</t>
  </si>
  <si>
    <t>8. Hvis Vo ændre sig væsentligt, gentages punkt 6</t>
  </si>
  <si>
    <t>10. Indsæt standard værdier og aflæs Vo og M7</t>
  </si>
  <si>
    <t>11. Har M7 ændret sig, indsættes den på ny i M5</t>
  </si>
  <si>
    <t>12. Hvis Vo ændre sig væsentligt, gentages punkt 6</t>
  </si>
  <si>
    <t>Herunder en test med TL431, Vin 10V, Vout 3,3V</t>
  </si>
  <si>
    <t>Aflæs værdierne på diagrammet til venstre</t>
  </si>
  <si>
    <t xml:space="preserve">Iref </t>
  </si>
  <si>
    <t>TL431 and TLV431 as voltage regulators - Design a voltage regulator</t>
  </si>
  <si>
    <t>TL431 og TLV431 som spændings regulatorer - Design en spændings regulator</t>
  </si>
  <si>
    <t>2,5 to 36 volt</t>
  </si>
  <si>
    <t>1 to 100 mA</t>
  </si>
  <si>
    <t>1 to 4 uA</t>
  </si>
  <si>
    <t>We want to find Vo by inserting the right values ​​in the yellow cells</t>
  </si>
  <si>
    <r>
      <rPr>
        <sz val="12"/>
        <color rgb="FFFF0000"/>
        <rFont val="Calibri"/>
        <family val="2"/>
        <scheme val="minor"/>
      </rPr>
      <t>(Iref*R1)</t>
    </r>
    <r>
      <rPr>
        <sz val="12"/>
        <color theme="1"/>
        <rFont val="Calibri"/>
        <family val="2"/>
        <scheme val="minor"/>
      </rPr>
      <t xml:space="preserve">  represent</t>
    </r>
  </si>
  <si>
    <r>
      <t xml:space="preserve">of </t>
    </r>
    <r>
      <rPr>
        <sz val="12"/>
        <color rgb="FF0070C0"/>
        <rFont val="Calibri"/>
        <family val="2"/>
        <scheme val="minor"/>
      </rPr>
      <t xml:space="preserve"> Vref*(1+R1/R2)</t>
    </r>
  </si>
  <si>
    <t>Procedure for the determination of Vout:</t>
  </si>
  <si>
    <t>1. Choose your "Shunt Regulator" type</t>
  </si>
  <si>
    <t>2. Insert Vref for the type</t>
  </si>
  <si>
    <t>3. Insert Vin and verify that it is within the allowable for the type</t>
  </si>
  <si>
    <t>4. Select a value for R3, so Icathode value is not exceeded</t>
  </si>
  <si>
    <r>
      <t>5. Select R1 to 10 k</t>
    </r>
    <r>
      <rPr>
        <sz val="12"/>
        <color theme="1"/>
        <rFont val="Calibri"/>
        <family val="2"/>
      </rPr>
      <t>Ω</t>
    </r>
    <r>
      <rPr>
        <sz val="12"/>
        <color theme="1"/>
        <rFont val="Calibri"/>
        <family val="2"/>
        <scheme val="minor"/>
      </rPr>
      <t xml:space="preserve"> and R 2 to 10 MΩ [remember insert in Ω]</t>
    </r>
  </si>
  <si>
    <t>6. Read Vo and if it does not fit with the requirement, create a "what if analysis" for R2</t>
  </si>
  <si>
    <t>7. Then read the cell M7, insert the value in cell M5</t>
  </si>
  <si>
    <t>8. If Vo change significantly, repeat steps 6</t>
  </si>
  <si>
    <t>10. Insert standard values ​​and read the Vo and M7</t>
  </si>
  <si>
    <t>11. If M7 has changed, inserted it again in M5</t>
  </si>
  <si>
    <t>12. If Vo change significantly, repeat steps 6</t>
  </si>
  <si>
    <t>Below a test with TL431, Vin 10V, Vout 3.3V</t>
  </si>
  <si>
    <t>Read the values ​​on the diagram to the left</t>
  </si>
  <si>
    <t>9. Når R1, R2 og R3 er beregnet, skal de nærmeste værdier i E-192 0,5 % rækken findes</t>
  </si>
  <si>
    <t>9. When R1, R2 and R3 is calculated, insert the nearest values ​​on E-192 0.5 %</t>
  </si>
  <si>
    <r>
      <t xml:space="preserve">derfor kan man se bort fra denne addision, ved at indsætte 0 i </t>
    </r>
    <r>
      <rPr>
        <sz val="12"/>
        <color rgb="FFFF0000"/>
        <rFont val="Calibri"/>
        <family val="2"/>
        <scheme val="minor"/>
      </rPr>
      <t>Iref,</t>
    </r>
  </si>
  <si>
    <r>
      <t>therefore, you can ignore this addision, by inserting 0 in</t>
    </r>
    <r>
      <rPr>
        <sz val="12"/>
        <color rgb="FFFF0000"/>
        <rFont val="Calibri"/>
        <family val="2"/>
        <scheme val="minor"/>
      </rPr>
      <t xml:space="preserve"> Iref,</t>
    </r>
  </si>
  <si>
    <r>
      <t xml:space="preserve">otherwise manually enter the cell value from </t>
    </r>
    <r>
      <rPr>
        <sz val="12"/>
        <color rgb="FFFF0000"/>
        <rFont val="Calibri"/>
        <family val="2"/>
        <scheme val="minor"/>
      </rPr>
      <t>M7</t>
    </r>
    <r>
      <rPr>
        <sz val="12"/>
        <color theme="1"/>
        <rFont val="Calibri"/>
        <family val="2"/>
        <scheme val="minor"/>
      </rPr>
      <t xml:space="preserve"> in cell </t>
    </r>
    <r>
      <rPr>
        <sz val="12"/>
        <color rgb="FFFF0000"/>
        <rFont val="Calibri"/>
        <family val="2"/>
        <scheme val="minor"/>
      </rPr>
      <t>M5</t>
    </r>
    <r>
      <rPr>
        <sz val="12"/>
        <color theme="1"/>
        <rFont val="Calibri"/>
        <family val="2"/>
        <scheme val="minor"/>
      </rPr>
      <t>, as shown above</t>
    </r>
  </si>
  <si>
    <r>
      <t xml:space="preserve">ellers indsættes manuelt celle værdien fra </t>
    </r>
    <r>
      <rPr>
        <sz val="12"/>
        <color rgb="FFFF0000"/>
        <rFont val="Calibri"/>
        <family val="2"/>
        <scheme val="minor"/>
      </rPr>
      <t>M7</t>
    </r>
    <r>
      <rPr>
        <sz val="12"/>
        <color theme="1"/>
        <rFont val="Calibri"/>
        <family val="2"/>
        <scheme val="minor"/>
      </rPr>
      <t xml:space="preserve"> i celle </t>
    </r>
    <r>
      <rPr>
        <sz val="12"/>
        <color rgb="FFFF0000"/>
        <rFont val="Calibri"/>
        <family val="2"/>
        <scheme val="minor"/>
      </rPr>
      <t>M5</t>
    </r>
    <r>
      <rPr>
        <sz val="12"/>
        <color theme="1"/>
        <rFont val="Calibri"/>
        <family val="2"/>
        <scheme val="minor"/>
      </rPr>
      <t>, som vist ovenfor</t>
    </r>
  </si>
</sst>
</file>

<file path=xl/styles.xml><?xml version="1.0" encoding="utf-8"?>
<styleSheet xmlns="http://schemas.openxmlformats.org/spreadsheetml/2006/main">
  <numFmts count="3">
    <numFmt numFmtId="164" formatCode="_ * #,##0.000_ ;_ * \-#,##0.000_ ;_ * &quot;-&quot;???_ ;_ @_ "/>
    <numFmt numFmtId="165" formatCode="0.0000"/>
    <numFmt numFmtId="166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color indexed="17"/>
      <name val="Arial"/>
      <family val="2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</font>
    <font>
      <sz val="12"/>
      <color indexed="1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4" borderId="0" xfId="0" quotePrefix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0" xfId="0" applyFill="1" applyBorder="1" applyProtection="1"/>
    <xf numFmtId="0" fontId="0" fillId="4" borderId="5" xfId="0" applyFill="1" applyBorder="1" applyProtection="1"/>
    <xf numFmtId="0" fontId="5" fillId="4" borderId="0" xfId="0" applyFont="1" applyFill="1" applyBorder="1" applyProtection="1"/>
    <xf numFmtId="0" fontId="0" fillId="4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</xf>
    <xf numFmtId="0" fontId="11" fillId="4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0" fontId="0" fillId="4" borderId="5" xfId="0" applyFill="1" applyBorder="1" applyAlignment="1" applyProtection="1">
      <alignment horizontal="center"/>
    </xf>
    <xf numFmtId="0" fontId="12" fillId="4" borderId="0" xfId="0" applyFont="1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7" fillId="4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center" vertical="center"/>
    </xf>
    <xf numFmtId="165" fontId="0" fillId="4" borderId="0" xfId="0" applyNumberFormat="1" applyFill="1" applyBorder="1" applyAlignment="1" applyProtection="1">
      <alignment horizontal="center" vertical="center"/>
    </xf>
    <xf numFmtId="165" fontId="0" fillId="4" borderId="5" xfId="0" applyNumberFormat="1" applyFill="1" applyBorder="1" applyAlignment="1" applyProtection="1">
      <alignment horizontal="center" vertical="center"/>
    </xf>
    <xf numFmtId="0" fontId="16" fillId="4" borderId="7" xfId="0" applyFont="1" applyFill="1" applyBorder="1" applyProtection="1"/>
    <xf numFmtId="2" fontId="0" fillId="4" borderId="0" xfId="0" applyNumberForma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15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/>
    <xf numFmtId="0" fontId="0" fillId="4" borderId="5" xfId="0" applyFill="1" applyBorder="1"/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left"/>
    </xf>
    <xf numFmtId="0" fontId="0" fillId="4" borderId="0" xfId="0" applyNumberForma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0" fontId="6" fillId="4" borderId="1" xfId="0" applyFont="1" applyFill="1" applyBorder="1"/>
    <xf numFmtId="0" fontId="6" fillId="0" borderId="0" xfId="0" applyFont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6" fillId="2" borderId="15" xfId="0" applyFont="1" applyFill="1" applyBorder="1" applyAlignment="1" applyProtection="1">
      <alignment horizontal="center"/>
      <protection locked="0"/>
    </xf>
    <xf numFmtId="166" fontId="6" fillId="2" borderId="16" xfId="0" applyNumberFormat="1" applyFont="1" applyFill="1" applyBorder="1" applyAlignment="1" applyProtection="1">
      <alignment horizontal="center"/>
      <protection locked="0"/>
    </xf>
    <xf numFmtId="2" fontId="6" fillId="2" borderId="16" xfId="0" applyNumberFormat="1" applyFont="1" applyFill="1" applyBorder="1" applyAlignment="1" applyProtection="1">
      <alignment horizontal="center"/>
      <protection locked="0"/>
    </xf>
    <xf numFmtId="2" fontId="6" fillId="3" borderId="16" xfId="0" quotePrefix="1" applyNumberFormat="1" applyFont="1" applyFill="1" applyBorder="1" applyAlignment="1">
      <alignment horizontal="center"/>
    </xf>
    <xf numFmtId="165" fontId="6" fillId="3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0" xfId="0" quotePrefix="1" applyFont="1" applyFill="1" applyBorder="1" applyAlignment="1" applyProtection="1">
      <alignment horizontal="center"/>
    </xf>
    <xf numFmtId="2" fontId="6" fillId="4" borderId="0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4" borderId="0" xfId="0" applyFont="1" applyFill="1" applyBorder="1" applyAlignment="1" applyProtection="1">
      <alignment horizontal="center"/>
    </xf>
    <xf numFmtId="0" fontId="6" fillId="4" borderId="0" xfId="0" quotePrefix="1" applyFont="1" applyFill="1" applyBorder="1" applyAlignment="1" applyProtection="1"/>
    <xf numFmtId="0" fontId="6" fillId="4" borderId="0" xfId="0" applyFont="1" applyFill="1" applyBorder="1" applyAlignment="1">
      <alignment vertical="center"/>
    </xf>
    <xf numFmtId="0" fontId="6" fillId="4" borderId="0" xfId="0" quotePrefix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>
      <alignment horizontal="center"/>
    </xf>
    <xf numFmtId="2" fontId="6" fillId="4" borderId="0" xfId="0" applyNumberFormat="1" applyFont="1" applyFill="1" applyBorder="1"/>
    <xf numFmtId="0" fontId="6" fillId="4" borderId="6" xfId="0" applyFont="1" applyFill="1" applyBorder="1"/>
    <xf numFmtId="0" fontId="21" fillId="4" borderId="7" xfId="0" applyFont="1" applyFill="1" applyBorder="1"/>
    <xf numFmtId="0" fontId="6" fillId="4" borderId="7" xfId="0" applyFont="1" applyFill="1" applyBorder="1"/>
    <xf numFmtId="0" fontId="20" fillId="4" borderId="12" xfId="0" applyFont="1" applyFill="1" applyBorder="1" applyAlignment="1">
      <alignment horizontal="center"/>
    </xf>
    <xf numFmtId="0" fontId="6" fillId="4" borderId="0" xfId="0" applyFont="1" applyFill="1"/>
    <xf numFmtId="2" fontId="6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0" xfId="0" quotePrefix="1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horizontal="center"/>
    </xf>
    <xf numFmtId="2" fontId="20" fillId="2" borderId="17" xfId="0" applyNumberFormat="1" applyFont="1" applyFill="1" applyBorder="1" applyAlignment="1" applyProtection="1">
      <alignment horizontal="center"/>
      <protection locked="0"/>
    </xf>
    <xf numFmtId="2" fontId="20" fillId="4" borderId="9" xfId="0" applyNumberFormat="1" applyFon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 vertical="center"/>
    </xf>
    <xf numFmtId="2" fontId="0" fillId="3" borderId="0" xfId="0" applyNumberForma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/>
      <protection hidden="1"/>
    </xf>
    <xf numFmtId="0" fontId="16" fillId="4" borderId="7" xfId="0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>
      <alignment horizontal="center"/>
    </xf>
    <xf numFmtId="0" fontId="2" fillId="4" borderId="0" xfId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164" fontId="10" fillId="4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horizontal="center"/>
    </xf>
    <xf numFmtId="0" fontId="21" fillId="4" borderId="7" xfId="0" applyFont="1" applyFill="1" applyBorder="1" applyAlignment="1" applyProtection="1">
      <alignment horizontal="center"/>
    </xf>
    <xf numFmtId="0" fontId="21" fillId="4" borderId="8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 horizontal="center"/>
    </xf>
    <xf numFmtId="10" fontId="6" fillId="4" borderId="0" xfId="2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/>
    </xf>
    <xf numFmtId="165" fontId="6" fillId="4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2" fillId="4" borderId="0" xfId="1" applyFont="1" applyFill="1" applyBorder="1" applyAlignment="1" applyProtection="1">
      <alignment vertical="center"/>
      <protection hidden="1"/>
    </xf>
  </cellXfs>
  <cellStyles count="3"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7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3.png"/><Relationship Id="rId6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1.png"/><Relationship Id="rId9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18</xdr:row>
      <xdr:rowOff>0</xdr:rowOff>
    </xdr:from>
    <xdr:to>
      <xdr:col>9</xdr:col>
      <xdr:colOff>609600</xdr:colOff>
      <xdr:row>19</xdr:row>
      <xdr:rowOff>83820</xdr:rowOff>
    </xdr:to>
    <xdr:pic>
      <xdr:nvPicPr>
        <xdr:cNvPr id="5" name="Picture 5" descr="«math xmlns=¨http://www.w3.org/1998/Math/MathML¨»«msub»«mi»I«/mi»«mi»Z«/mi»«/msub»«mo»=«/mo»«msub»«mi»I«/mi»«mi»S«/mi»«/msub»«mo»-«/mo»«msub»«mi»I«/mi»«mi»L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5160" y="2910840"/>
          <a:ext cx="609600" cy="2667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495300</xdr:colOff>
      <xdr:row>23</xdr:row>
      <xdr:rowOff>83820</xdr:rowOff>
    </xdr:to>
    <xdr:pic>
      <xdr:nvPicPr>
        <xdr:cNvPr id="7" name="Picture 7" descr="«math xmlns=¨http://www.w3.org/1998/Math/MathML¨»«msub»«mi»V«/mi»«mi»L«/mi»«/msub»«mo»=«/mo»«msub»«mi»V«/mi»«mi»Z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0" y="3680460"/>
          <a:ext cx="495300" cy="266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4</xdr:row>
      <xdr:rowOff>0</xdr:rowOff>
    </xdr:from>
    <xdr:to>
      <xdr:col>2</xdr:col>
      <xdr:colOff>754380</xdr:colOff>
      <xdr:row>6</xdr:row>
      <xdr:rowOff>68580</xdr:rowOff>
    </xdr:to>
    <xdr:pic>
      <xdr:nvPicPr>
        <xdr:cNvPr id="13" name="Picture 2" descr="«math xmlns=¨http://www.w3.org/1998/Math/MathML¨»«msub»«mi»I«/mi»«mrow»«mi»m«/mi»«mi»a«/mi»«mi»x«/mi»«/mrow»«/msub»«mo»=«/mo»«mfrac»«mrow»«mi»P«/mi»«mi»o«/mi»«mi»w«/mi»«mi»e«/mi»«mi»r«/mi»«/mrow»«mrow»«mi»Z«/mi»«mi»e«/mi»«mi»n«/mi»«mi»e«/mi»«mi»r«/mi»«mo»§nbsp;«/mo»«mi»v«/mi»«mi»o«/mi»«mi»l«/mi»«mi»t«/mi»«mi»a«/mi»«mi»g«/mi»«mi»e«/mi»«/mrow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600" y="731520"/>
          <a:ext cx="1592580" cy="4800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960120</xdr:colOff>
      <xdr:row>29</xdr:row>
      <xdr:rowOff>7620</xdr:rowOff>
    </xdr:to>
    <xdr:pic>
      <xdr:nvPicPr>
        <xdr:cNvPr id="14" name="Picture 8" descr="«math xmlns=¨http://www.w3.org/1998/Math/MathML¨»«msub»«mi»V«/mi»«mi»s«/mi»«/msub»«mo»=«/mo»«mfrac»«mrow»«msub»«mi»R«/mi»«mi»S«/mi»«/msub»«mo»*«/mo»«msub»«mi»V«/mi»«mrow»«mi»i«/mi»«mi»n«/mi»«/mrow»«/msub»«/mrow»«mrow»«mo»(«/mo»«msub»«mi»R«/mi»«mi»S«/mi»«/msub»«mo»+«/mo»«msub»«mi»R«/mi»«mi»L«/mi»«/msub»«mo»)«/mo»«/mrow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95160" y="4434840"/>
          <a:ext cx="960120" cy="55626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236220</xdr:colOff>
      <xdr:row>29</xdr:row>
      <xdr:rowOff>7620</xdr:rowOff>
    </xdr:to>
    <xdr:pic>
      <xdr:nvPicPr>
        <xdr:cNvPr id="15" name="Picture 9" descr="«math xmlns=¨http://www.w3.org/1998/Math/MathML¨»«msub»«mi»V«/mi»«mi»L«/mi»«/msub»«mo»=«/mo»«mfrac»«mrow»«msub»«mi»R«/mi»«mi»L«/mi»«/msub»«mo»*«/mo»«msub»«mi»V«/mi»«mrow»«mi»i«/mi»«mi»n«/mi»«/mrow»«/msub»«/mrow»«mrow»«mo»(«/mo»«msub»«mi»R«/mi»«mi»S«/mi»«/msub»«mo»+«/mo»«msub»«mi»R«/mi»«mi»L«/mi»«/msub»«mo»)«/mo»«/mrow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63000" y="4434840"/>
          <a:ext cx="975360" cy="5562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807720</xdr:colOff>
      <xdr:row>23</xdr:row>
      <xdr:rowOff>83820</xdr:rowOff>
    </xdr:to>
    <xdr:pic>
      <xdr:nvPicPr>
        <xdr:cNvPr id="16" name="Picture 6" descr="«math xmlns=¨http://www.w3.org/1998/Math/MathML¨»«msub»«mi»V«/mi»«mi»s«/mi»«/msub»«mo»=«/mo»«msub»«mi»V«/mi»«mrow»«mi»i«/mi»«mi»n«/mi»«/mrow»«/msub»«mo»-«/mo»«msub»«mi»V«/mi»«mi»L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95160" y="3703320"/>
          <a:ext cx="807720" cy="2667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480060</xdr:colOff>
      <xdr:row>15</xdr:row>
      <xdr:rowOff>175260</xdr:rowOff>
    </xdr:to>
    <xdr:pic>
      <xdr:nvPicPr>
        <xdr:cNvPr id="17" name="Picture 4" descr="«math xmlns=¨http://www.w3.org/1998/Math/MathML¨»«msub»«mi»I«/mi»«mi»L«/mi»«/msub»«mo»=«/mo»«mfrac»«msub»«mi»V«/mi»«mi»L«/mi»«/msub»«msub»«mi»R«/mi»«mi»L«/mi»«/msub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95160" y="1935480"/>
          <a:ext cx="480060" cy="55626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13</xdr:row>
      <xdr:rowOff>60960</xdr:rowOff>
    </xdr:from>
    <xdr:to>
      <xdr:col>13</xdr:col>
      <xdr:colOff>495300</xdr:colOff>
      <xdr:row>14</xdr:row>
      <xdr:rowOff>137160</xdr:rowOff>
    </xdr:to>
    <xdr:pic>
      <xdr:nvPicPr>
        <xdr:cNvPr id="18" name="Picture 7" descr="«math xmlns=¨http://www.w3.org/1998/Math/MathML¨»«msub»«mi»V«/mi»«mi»L«/mi»«/msub»«mo»=«/mo»«msub»«mi»V«/mi»«mi»Z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80320" y="2727960"/>
          <a:ext cx="495300" cy="2667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144780</xdr:rowOff>
    </xdr:from>
    <xdr:to>
      <xdr:col>9</xdr:col>
      <xdr:colOff>495300</xdr:colOff>
      <xdr:row>7</xdr:row>
      <xdr:rowOff>60960</xdr:rowOff>
    </xdr:to>
    <xdr:pic>
      <xdr:nvPicPr>
        <xdr:cNvPr id="19" name="Picture 3" descr="«math xmlns=¨http://www.w3.org/1998/Math/MathML¨»«msub»«mi»I«/mi»«mi»S«/mi»«/msub»«mo»=«/mo»«mfrac»«msub»«mi»V«/mi»«mi»S«/mi»«/msub»«msub»«mi»R«/mi»«mi»S«/mi»«/msub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58000" y="876300"/>
          <a:ext cx="495300" cy="5562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160020</xdr:colOff>
      <xdr:row>18</xdr:row>
      <xdr:rowOff>99060</xdr:rowOff>
    </xdr:from>
    <xdr:to>
      <xdr:col>7</xdr:col>
      <xdr:colOff>654600</xdr:colOff>
      <xdr:row>38</xdr:row>
      <xdr:rowOff>177512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0520" y="3794760"/>
          <a:ext cx="5760000" cy="382749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4</xdr:row>
      <xdr:rowOff>53340</xdr:rowOff>
    </xdr:from>
    <xdr:to>
      <xdr:col>2</xdr:col>
      <xdr:colOff>739140</xdr:colOff>
      <xdr:row>6</xdr:row>
      <xdr:rowOff>121920</xdr:rowOff>
    </xdr:to>
    <xdr:pic>
      <xdr:nvPicPr>
        <xdr:cNvPr id="2050" name="Picture 2" descr="«math xmlns=¨http://www.w3.org/1998/Math/MathML¨»«msub»«mi»I«/mi»«mrow»«mi»m«/mi»«mi»a«/mi»«mi»x«/mi»«/mrow»«/msub»«mo»=«/mo»«mfrac»«mrow»«mi»P«/mi»«mi»o«/mi»«mi»w«/mi»«mi»e«/mi»«mi»r«/mi»«/mrow»«mrow»«mi»Z«/mi»«mi»e«/mi»«mi»n«/mi»«mi»e«/mi»«mi»r«/mi»«mo»§nbsp;«/mo»«mi»v«/mi»«mi»o«/mi»«mi»l«/mi»«mi»t«/mi»«mi»a«/mi»«mi»g«/mi»«mi»e«/mi»«/mrow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" y="784860"/>
          <a:ext cx="1592580" cy="4800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144780</xdr:rowOff>
    </xdr:from>
    <xdr:to>
      <xdr:col>9</xdr:col>
      <xdr:colOff>495300</xdr:colOff>
      <xdr:row>7</xdr:row>
      <xdr:rowOff>60960</xdr:rowOff>
    </xdr:to>
    <xdr:pic>
      <xdr:nvPicPr>
        <xdr:cNvPr id="2051" name="Picture 3" descr="«math xmlns=¨http://www.w3.org/1998/Math/MathML¨»«msub»«mi»I«/mi»«mi»S«/mi»«/msub»«mo»=«/mo»«mfrac»«msub»«mi»V«/mi»«mi»S«/mi»«/msub»«msub»«mi»R«/mi»«mi»S«/mi»«/msub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2320" y="876300"/>
          <a:ext cx="495300" cy="5562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7620</xdr:rowOff>
    </xdr:from>
    <xdr:to>
      <xdr:col>9</xdr:col>
      <xdr:colOff>480060</xdr:colOff>
      <xdr:row>15</xdr:row>
      <xdr:rowOff>182880</xdr:rowOff>
    </xdr:to>
    <xdr:pic>
      <xdr:nvPicPr>
        <xdr:cNvPr id="2052" name="Picture 4" descr="«math xmlns=¨http://www.w3.org/1998/Math/MathML¨»«msub»«mi»I«/mi»«mi»L«/mi»«/msub»«mo»=«/mo»«mfrac»«msub»«mi»V«/mi»«mi»L«/mi»«/msub»«msub»«mi»R«/mi»«mi»L«/mi»«/msub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03620" y="1874520"/>
          <a:ext cx="480060" cy="5562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609600</xdr:colOff>
      <xdr:row>19</xdr:row>
      <xdr:rowOff>76200</xdr:rowOff>
    </xdr:to>
    <xdr:pic>
      <xdr:nvPicPr>
        <xdr:cNvPr id="2053" name="Picture 5" descr="«math xmlns=¨http://www.w3.org/1998/Math/MathML¨»«msub»«mi»I«/mi»«mi»Z«/mi»«/msub»«mo»=«/mo»«msub»«mi»I«/mi»«mi»S«/mi»«/msub»«mo»-«/mo»«msub»«mi»I«/mi»«mi»L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03620" y="3009900"/>
          <a:ext cx="609600" cy="2667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807720</xdr:colOff>
      <xdr:row>23</xdr:row>
      <xdr:rowOff>83820</xdr:rowOff>
    </xdr:to>
    <xdr:pic>
      <xdr:nvPicPr>
        <xdr:cNvPr id="2054" name="Picture 6" descr="«math xmlns=¨http://www.w3.org/1998/Math/MathML¨»«msub»«mi»V«/mi»«mi»s«/mi»«/msub»«mo»=«/mo»«msub»«mi»V«/mi»«mrow»«mi»i«/mi»«mi»n«/mi»«/mrow»«/msub»«mo»-«/mo»«msub»«mi»V«/mi»«mi»L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54980" y="3787140"/>
          <a:ext cx="807720" cy="2667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495300</xdr:colOff>
      <xdr:row>23</xdr:row>
      <xdr:rowOff>83820</xdr:rowOff>
    </xdr:to>
    <xdr:pic>
      <xdr:nvPicPr>
        <xdr:cNvPr id="2055" name="Picture 7" descr="«math xmlns=¨http://www.w3.org/1998/Math/MathML¨»«msub»«mi»V«/mi»«mi»L«/mi»«/msub»«mo»=«/mo»«msub»«mi»V«/mi»«mi»Z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70420" y="3787140"/>
          <a:ext cx="495300" cy="2667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167640</xdr:rowOff>
    </xdr:from>
    <xdr:to>
      <xdr:col>9</xdr:col>
      <xdr:colOff>960120</xdr:colOff>
      <xdr:row>28</xdr:row>
      <xdr:rowOff>175260</xdr:rowOff>
    </xdr:to>
    <xdr:pic>
      <xdr:nvPicPr>
        <xdr:cNvPr id="2056" name="Picture 8" descr="«math xmlns=¨http://www.w3.org/1998/Math/MathML¨»«msub»«mi»V«/mi»«mi»s«/mi»«/msub»«mo»=«/mo»«mfrac»«mrow»«msub»«mi»R«/mi»«mi»S«/mi»«/msub»«mo»*«/mo»«msub»«mi»V«/mi»«mrow»«mi»i«/mi»«mi»n«/mi»«/mrow»«/msub»«/mrow»«mrow»«mo»(«/mo»«msub»«mi»R«/mi»«mi»S«/mi»«/msub»«mo»+«/mo»«msub»«mi»R«/mi»«mi»L«/mi»«/msub»«mo»)«/mo»«/mrow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54980" y="4503420"/>
          <a:ext cx="960120" cy="55626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7620</xdr:colOff>
      <xdr:row>26</xdr:row>
      <xdr:rowOff>0</xdr:rowOff>
    </xdr:from>
    <xdr:to>
      <xdr:col>12</xdr:col>
      <xdr:colOff>243840</xdr:colOff>
      <xdr:row>29</xdr:row>
      <xdr:rowOff>7620</xdr:rowOff>
    </xdr:to>
    <xdr:pic>
      <xdr:nvPicPr>
        <xdr:cNvPr id="2057" name="Picture 9" descr="«math xmlns=¨http://www.w3.org/1998/Math/MathML¨»«msub»«mi»V«/mi»«mi»L«/mi»«/msub»«mo»=«/mo»«mfrac»«mrow»«msub»«mi»R«/mi»«mi»L«/mi»«/msub»«mo»*«/mo»«msub»«mi»V«/mi»«mrow»«mi»i«/mi»«mi»n«/mi»«/mrow»«/msub»«/mrow»«mrow»«mo»(«/mo»«msub»«mi»R«/mi»«mi»S«/mi»«/msub»«mo»+«/mo»«msub»«mi»R«/mi»«mi»L«/mi»«/msub»«mo»)«/mo»«/mrow»«/mfrac»«/math»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330440" y="4518660"/>
          <a:ext cx="975360" cy="55626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129540</xdr:colOff>
      <xdr:row>13</xdr:row>
      <xdr:rowOff>91440</xdr:rowOff>
    </xdr:from>
    <xdr:to>
      <xdr:col>13</xdr:col>
      <xdr:colOff>624840</xdr:colOff>
      <xdr:row>14</xdr:row>
      <xdr:rowOff>167640</xdr:rowOff>
    </xdr:to>
    <xdr:pic>
      <xdr:nvPicPr>
        <xdr:cNvPr id="11" name="Picture 7" descr="«math xmlns=¨http://www.w3.org/1998/Math/MathML¨»«msub»«mi»V«/mi»«mi»L«/mi»«/msub»«mo»=«/mo»«msub»«mi»V«/mi»«mi»Z«/mi»«/msub»«/math»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204960" y="1973580"/>
          <a:ext cx="495300" cy="266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160020</xdr:colOff>
      <xdr:row>18</xdr:row>
      <xdr:rowOff>99060</xdr:rowOff>
    </xdr:from>
    <xdr:to>
      <xdr:col>7</xdr:col>
      <xdr:colOff>654600</xdr:colOff>
      <xdr:row>38</xdr:row>
      <xdr:rowOff>177512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0520" y="3794760"/>
          <a:ext cx="5760000" cy="382749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16</xdr:row>
      <xdr:rowOff>175260</xdr:rowOff>
    </xdr:from>
    <xdr:to>
      <xdr:col>6</xdr:col>
      <xdr:colOff>774660</xdr:colOff>
      <xdr:row>46</xdr:row>
      <xdr:rowOff>62910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" y="3360420"/>
          <a:ext cx="5400000" cy="5831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16</xdr:row>
      <xdr:rowOff>175260</xdr:rowOff>
    </xdr:from>
    <xdr:to>
      <xdr:col>6</xdr:col>
      <xdr:colOff>774660</xdr:colOff>
      <xdr:row>46</xdr:row>
      <xdr:rowOff>62910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" y="3360420"/>
          <a:ext cx="5400000" cy="5831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http://www.walter-lystfisker.dk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P41"/>
  <sheetViews>
    <sheetView tabSelected="1" workbookViewId="0"/>
  </sheetViews>
  <sheetFormatPr defaultRowHeight="15"/>
  <cols>
    <col min="1" max="1" width="2.7109375" customWidth="1"/>
    <col min="2" max="2" width="12.7109375" customWidth="1"/>
    <col min="3" max="3" width="12.85546875" customWidth="1"/>
    <col min="4" max="4" width="12.7109375" customWidth="1"/>
    <col min="5" max="5" width="11.7109375" customWidth="1"/>
    <col min="6" max="6" width="15.7109375" customWidth="1"/>
    <col min="7" max="9" width="10.7109375" customWidth="1"/>
    <col min="10" max="10" width="15" customWidth="1"/>
    <col min="11" max="16" width="10.7109375" customWidth="1"/>
  </cols>
  <sheetData>
    <row r="1" spans="1:16" ht="14.45" customHeight="1">
      <c r="A1" s="4"/>
      <c r="B1" s="84" t="s">
        <v>32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5"/>
    </row>
    <row r="2" spans="1:16" ht="14.45" customHeight="1">
      <c r="A2" s="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8"/>
    </row>
    <row r="3" spans="1:16" ht="14.45" customHeight="1">
      <c r="A3" s="6"/>
      <c r="B3" s="9" t="s">
        <v>36</v>
      </c>
      <c r="C3" s="7"/>
      <c r="D3" s="7"/>
      <c r="E3" s="7"/>
      <c r="F3" s="7"/>
      <c r="G3" s="7"/>
      <c r="H3" s="7"/>
      <c r="I3" s="28"/>
      <c r="J3" s="9" t="s">
        <v>33</v>
      </c>
      <c r="K3" s="28"/>
      <c r="L3" s="28"/>
      <c r="M3" s="28"/>
      <c r="N3" s="28"/>
      <c r="O3" s="28"/>
      <c r="P3" s="8"/>
    </row>
    <row r="4" spans="1:16" ht="14.45" customHeight="1">
      <c r="A4" s="6"/>
      <c r="B4" s="9" t="s">
        <v>15</v>
      </c>
      <c r="C4" s="90" t="s">
        <v>3</v>
      </c>
      <c r="D4" s="90"/>
      <c r="E4" s="90"/>
      <c r="F4" s="94" t="s">
        <v>54</v>
      </c>
      <c r="G4" s="94"/>
      <c r="H4" s="94"/>
      <c r="I4" s="28"/>
      <c r="J4" s="9" t="s">
        <v>34</v>
      </c>
      <c r="K4" s="28"/>
      <c r="L4" s="28"/>
      <c r="M4" s="28"/>
      <c r="N4" s="28"/>
      <c r="O4" s="28"/>
      <c r="P4" s="8"/>
    </row>
    <row r="5" spans="1:16" ht="14.45" customHeight="1">
      <c r="A5" s="6"/>
      <c r="B5" s="7"/>
      <c r="C5" s="7"/>
      <c r="D5" s="91">
        <f>ROUND(G10/G12,0)</f>
        <v>455</v>
      </c>
      <c r="E5" s="85" t="s">
        <v>0</v>
      </c>
      <c r="F5" s="93" t="s">
        <v>52</v>
      </c>
      <c r="G5" s="92">
        <v>80</v>
      </c>
      <c r="H5" s="85" t="s">
        <v>0</v>
      </c>
      <c r="I5" s="28"/>
      <c r="J5" s="33"/>
      <c r="K5" s="28"/>
      <c r="L5" s="28"/>
      <c r="M5" s="28"/>
      <c r="N5" s="28"/>
      <c r="O5" s="28"/>
      <c r="P5" s="8"/>
    </row>
    <row r="6" spans="1:16" ht="18" customHeight="1">
      <c r="A6" s="6"/>
      <c r="B6" s="7"/>
      <c r="C6" s="7"/>
      <c r="D6" s="91"/>
      <c r="E6" s="85"/>
      <c r="F6" s="93"/>
      <c r="G6" s="92"/>
      <c r="H6" s="85"/>
      <c r="I6" s="7"/>
      <c r="J6" s="33"/>
      <c r="K6" s="85" t="s">
        <v>12</v>
      </c>
      <c r="L6" s="86">
        <f>ROUND((G14/D5)*1000,2)</f>
        <v>2.64</v>
      </c>
      <c r="M6" s="87" t="s">
        <v>1</v>
      </c>
      <c r="N6" s="88" t="s">
        <v>55</v>
      </c>
      <c r="O6" s="88"/>
      <c r="P6" s="89"/>
    </row>
    <row r="7" spans="1:16" ht="18" customHeight="1">
      <c r="A7" s="6"/>
      <c r="B7" s="7"/>
      <c r="C7" s="7"/>
      <c r="D7" s="7"/>
      <c r="E7" s="7"/>
      <c r="F7" s="7"/>
      <c r="G7" s="7"/>
      <c r="H7" s="7"/>
      <c r="I7" s="7"/>
      <c r="J7" s="33"/>
      <c r="K7" s="85"/>
      <c r="L7" s="86"/>
      <c r="M7" s="85"/>
      <c r="N7" s="88"/>
      <c r="O7" s="88"/>
      <c r="P7" s="89"/>
    </row>
    <row r="8" spans="1:16" ht="24" customHeight="1">
      <c r="A8" s="6"/>
      <c r="B8" s="22" t="s">
        <v>14</v>
      </c>
      <c r="C8" s="92" t="s">
        <v>71</v>
      </c>
      <c r="D8" s="92"/>
      <c r="E8" s="7"/>
      <c r="F8" s="7"/>
      <c r="G8" s="7"/>
      <c r="H8" s="7"/>
      <c r="I8" s="7"/>
      <c r="J8" s="33"/>
      <c r="K8" s="7"/>
      <c r="L8" s="7"/>
      <c r="M8" s="7"/>
      <c r="N8" s="7"/>
      <c r="O8" s="7"/>
      <c r="P8" s="8"/>
    </row>
    <row r="9" spans="1:16" ht="18" customHeight="1">
      <c r="A9" s="6"/>
      <c r="B9" s="22" t="s">
        <v>31</v>
      </c>
      <c r="C9" s="99" t="s">
        <v>72</v>
      </c>
      <c r="D9" s="100"/>
      <c r="E9" s="7"/>
      <c r="F9" s="7"/>
      <c r="G9" s="7"/>
      <c r="H9" s="7"/>
      <c r="I9" s="7"/>
      <c r="J9" s="88" t="s">
        <v>61</v>
      </c>
      <c r="K9" s="85" t="s">
        <v>53</v>
      </c>
      <c r="L9" s="86">
        <f>ROUND((G14/G5)*1000,2)</f>
        <v>15</v>
      </c>
      <c r="M9" s="87" t="s">
        <v>1</v>
      </c>
      <c r="N9" s="88" t="s">
        <v>59</v>
      </c>
      <c r="O9" s="88"/>
      <c r="P9" s="89"/>
    </row>
    <row r="10" spans="1:16" ht="18" customHeight="1">
      <c r="A10" s="6"/>
      <c r="B10" s="7" t="s">
        <v>68</v>
      </c>
      <c r="C10" s="7"/>
      <c r="D10" s="7"/>
      <c r="E10" s="10"/>
      <c r="F10" s="10"/>
      <c r="G10" s="11">
        <v>1500</v>
      </c>
      <c r="H10" s="35" t="s">
        <v>76</v>
      </c>
      <c r="I10" s="7"/>
      <c r="J10" s="88"/>
      <c r="K10" s="85"/>
      <c r="L10" s="86"/>
      <c r="M10" s="85"/>
      <c r="N10" s="88"/>
      <c r="O10" s="88"/>
      <c r="P10" s="89"/>
    </row>
    <row r="11" spans="1:16" ht="18" customHeight="1">
      <c r="A11" s="6"/>
      <c r="B11" s="13" t="s">
        <v>43</v>
      </c>
      <c r="C11" s="7"/>
      <c r="D11" s="21"/>
      <c r="E11" s="10"/>
      <c r="F11" s="10"/>
      <c r="G11" s="41">
        <v>330</v>
      </c>
      <c r="H11" s="15" t="s">
        <v>73</v>
      </c>
      <c r="I11" s="7"/>
      <c r="J11" s="7"/>
      <c r="K11" s="33"/>
      <c r="L11" s="33"/>
      <c r="M11" s="33"/>
      <c r="N11" s="33"/>
      <c r="O11" s="33"/>
      <c r="P11" s="8"/>
    </row>
    <row r="12" spans="1:16" ht="15" customHeight="1">
      <c r="A12" s="6"/>
      <c r="B12" s="13" t="s">
        <v>44</v>
      </c>
      <c r="C12" s="16"/>
      <c r="D12" s="7"/>
      <c r="E12" s="7"/>
      <c r="F12" s="7"/>
      <c r="G12" s="11">
        <v>3.3</v>
      </c>
      <c r="H12" s="35" t="s">
        <v>74</v>
      </c>
      <c r="I12" s="7"/>
      <c r="J12" s="9" t="s">
        <v>35</v>
      </c>
      <c r="K12" s="7"/>
      <c r="L12" s="7"/>
      <c r="M12" s="7"/>
      <c r="N12" s="7"/>
      <c r="O12" s="7"/>
      <c r="P12" s="8"/>
    </row>
    <row r="13" spans="1:16" ht="15" customHeight="1">
      <c r="A13" s="6"/>
      <c r="B13" s="13" t="s">
        <v>45</v>
      </c>
      <c r="C13" s="16"/>
      <c r="D13" s="7"/>
      <c r="E13" s="7"/>
      <c r="F13" s="7"/>
      <c r="G13" s="11">
        <v>4.5</v>
      </c>
      <c r="H13" s="35" t="s">
        <v>74</v>
      </c>
      <c r="I13" s="7"/>
      <c r="J13" s="7"/>
      <c r="K13" s="7"/>
      <c r="L13" s="7"/>
      <c r="M13" s="7"/>
      <c r="N13" s="7"/>
      <c r="O13" s="7"/>
      <c r="P13" s="8"/>
    </row>
    <row r="14" spans="1:16" ht="15" customHeight="1">
      <c r="A14" s="6"/>
      <c r="B14" s="13" t="s">
        <v>46</v>
      </c>
      <c r="C14" s="16"/>
      <c r="D14" s="7"/>
      <c r="E14" s="7"/>
      <c r="F14" s="7"/>
      <c r="G14" s="12">
        <f>G13-G12</f>
        <v>1.2000000000000002</v>
      </c>
      <c r="H14" s="35" t="s">
        <v>74</v>
      </c>
      <c r="I14" s="7"/>
      <c r="J14" s="7"/>
      <c r="K14" s="12"/>
      <c r="L14" s="86">
        <f>ROUND((G15/G11)*1000,2)</f>
        <v>10</v>
      </c>
      <c r="M14" s="85" t="s">
        <v>0</v>
      </c>
      <c r="N14" s="23"/>
      <c r="O14" s="7"/>
      <c r="P14" s="8"/>
    </row>
    <row r="15" spans="1:16" ht="15" customHeight="1">
      <c r="A15" s="6"/>
      <c r="B15" s="13" t="s">
        <v>47</v>
      </c>
      <c r="C15" s="16"/>
      <c r="D15" s="7"/>
      <c r="E15" s="7"/>
      <c r="F15" s="7"/>
      <c r="G15" s="12">
        <f>+G12</f>
        <v>3.3</v>
      </c>
      <c r="H15" s="35" t="s">
        <v>74</v>
      </c>
      <c r="I15" s="7"/>
      <c r="J15" s="7"/>
      <c r="K15" s="12"/>
      <c r="L15" s="86"/>
      <c r="M15" s="85"/>
      <c r="N15" s="23"/>
      <c r="O15" s="7"/>
      <c r="P15" s="8"/>
    </row>
    <row r="16" spans="1:16" ht="15" customHeight="1">
      <c r="A16" s="6"/>
      <c r="B16" s="13" t="s">
        <v>66</v>
      </c>
      <c r="C16" s="16"/>
      <c r="D16" s="7"/>
      <c r="E16" s="7"/>
      <c r="F16" s="7"/>
      <c r="G16" s="27">
        <f>ROUND((G14/L6)*1000,2)</f>
        <v>454.55</v>
      </c>
      <c r="H16" s="35" t="s">
        <v>75</v>
      </c>
      <c r="I16" s="7"/>
      <c r="J16" s="7"/>
      <c r="K16" s="7"/>
      <c r="L16" s="7"/>
      <c r="M16" s="7"/>
      <c r="N16" s="7"/>
      <c r="O16" s="7"/>
      <c r="P16" s="8"/>
    </row>
    <row r="17" spans="1:16" ht="15" customHeight="1">
      <c r="A17" s="6"/>
      <c r="B17" s="13" t="s">
        <v>48</v>
      </c>
      <c r="C17" s="16"/>
      <c r="D17" s="7"/>
      <c r="E17" s="7"/>
      <c r="F17" s="3" t="str">
        <f>IF(G17=D5,"Imax for Zener",IF(G17&lt;D5,"Zener diode OK"))</f>
        <v>Zener diode OK</v>
      </c>
      <c r="G17" s="27">
        <f>+L18</f>
        <v>444.55</v>
      </c>
      <c r="H17" s="35" t="s">
        <v>75</v>
      </c>
      <c r="I17" s="7"/>
      <c r="J17" s="9" t="s">
        <v>38</v>
      </c>
      <c r="K17" s="7"/>
      <c r="L17" s="7"/>
      <c r="M17" s="7"/>
      <c r="N17" s="7"/>
      <c r="O17" s="7"/>
      <c r="P17" s="8"/>
    </row>
    <row r="18" spans="1:16" ht="15" customHeight="1">
      <c r="A18" s="6"/>
      <c r="B18" s="13" t="s">
        <v>49</v>
      </c>
      <c r="C18" s="16"/>
      <c r="D18" s="7"/>
      <c r="E18" s="7"/>
      <c r="F18" s="7"/>
      <c r="G18" s="27">
        <f>+L14</f>
        <v>10</v>
      </c>
      <c r="H18" s="35" t="s">
        <v>75</v>
      </c>
      <c r="I18" s="7"/>
      <c r="J18" s="7"/>
      <c r="K18" s="7"/>
      <c r="L18" s="86">
        <f>ROUND(G16-G18,2)</f>
        <v>444.55</v>
      </c>
      <c r="M18" s="85" t="s">
        <v>0</v>
      </c>
      <c r="N18" s="7"/>
      <c r="O18" s="7"/>
      <c r="P18" s="8"/>
    </row>
    <row r="19" spans="1:16" ht="15" customHeight="1">
      <c r="A19" s="6"/>
      <c r="B19" s="33"/>
      <c r="C19" s="33"/>
      <c r="D19" s="33"/>
      <c r="E19" s="33"/>
      <c r="F19" s="33"/>
      <c r="G19" s="33"/>
      <c r="H19" s="33"/>
      <c r="I19" s="7"/>
      <c r="J19" s="7"/>
      <c r="K19" s="7"/>
      <c r="L19" s="86"/>
      <c r="M19" s="85"/>
      <c r="N19" s="7"/>
      <c r="O19" s="7"/>
      <c r="P19" s="8"/>
    </row>
    <row r="20" spans="1:16" ht="15" customHeight="1">
      <c r="A20" s="6"/>
      <c r="B20" s="33"/>
      <c r="C20" s="33"/>
      <c r="D20" s="33"/>
      <c r="E20" s="33"/>
      <c r="F20" s="37"/>
      <c r="G20" s="33"/>
      <c r="H20" s="33"/>
      <c r="I20" s="7"/>
      <c r="J20" s="7"/>
      <c r="K20" s="7"/>
      <c r="L20" s="7"/>
      <c r="M20" s="7"/>
      <c r="N20" s="7"/>
      <c r="O20" s="7"/>
      <c r="P20" s="8"/>
    </row>
    <row r="21" spans="1:16">
      <c r="A21" s="6"/>
      <c r="B21" s="33"/>
      <c r="C21" s="33"/>
      <c r="D21" s="33"/>
      <c r="E21" s="33"/>
      <c r="F21" s="33"/>
      <c r="G21" s="33"/>
      <c r="H21" s="33"/>
      <c r="I21" s="7"/>
      <c r="J21" s="9" t="s">
        <v>39</v>
      </c>
      <c r="K21" s="7"/>
      <c r="L21" s="7"/>
      <c r="M21" s="7"/>
      <c r="N21" s="7"/>
      <c r="O21" s="7"/>
      <c r="P21" s="8"/>
    </row>
    <row r="22" spans="1:16">
      <c r="A22" s="6"/>
      <c r="B22" s="33"/>
      <c r="C22" s="33"/>
      <c r="D22" s="33"/>
      <c r="E22" s="33"/>
      <c r="F22" s="33"/>
      <c r="G22" s="33"/>
      <c r="H22" s="33"/>
      <c r="I22" s="7"/>
      <c r="J22" s="7"/>
      <c r="K22" s="7"/>
      <c r="L22" s="7"/>
      <c r="M22" s="7"/>
      <c r="N22" s="7"/>
      <c r="O22" s="7"/>
      <c r="P22" s="8"/>
    </row>
    <row r="23" spans="1:16">
      <c r="A23" s="6"/>
      <c r="B23" s="7"/>
      <c r="C23" s="35" t="str">
        <f>CONCATENATE(L6,H11)</f>
        <v>2,64 Ω</v>
      </c>
      <c r="D23" s="35" t="str">
        <f>CONCATENATE(G16,H16)</f>
        <v>454,55 mA</v>
      </c>
      <c r="E23" s="7"/>
      <c r="F23" s="38" t="str">
        <f>CONCATENATE(G12,H12)</f>
        <v>3,3 Volt</v>
      </c>
      <c r="G23" s="7"/>
      <c r="H23" s="7"/>
      <c r="I23" s="7"/>
      <c r="J23" s="7"/>
      <c r="K23" s="12" t="s">
        <v>10</v>
      </c>
      <c r="L23" s="7"/>
      <c r="M23" s="12">
        <f>G13-G15</f>
        <v>1.2000000000000002</v>
      </c>
      <c r="N23" s="12" t="s">
        <v>10</v>
      </c>
      <c r="O23" s="12">
        <f>+G12</f>
        <v>3.3</v>
      </c>
      <c r="P23" s="8" t="s">
        <v>4</v>
      </c>
    </row>
    <row r="24" spans="1:16">
      <c r="A24" s="6"/>
      <c r="B24" s="7"/>
      <c r="C24" s="36" t="s">
        <v>77</v>
      </c>
      <c r="D24" s="36" t="str">
        <f>CONCATENATE(G14,H14)</f>
        <v>1,2 Volt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>
      <c r="A25" s="6"/>
      <c r="B25" s="7"/>
      <c r="C25" s="7"/>
      <c r="D25" s="7"/>
      <c r="E25" s="7"/>
      <c r="F25" s="7"/>
      <c r="G25" s="7"/>
      <c r="H25" s="7"/>
      <c r="I25" s="7"/>
      <c r="J25" s="9" t="s">
        <v>40</v>
      </c>
      <c r="K25" s="7"/>
      <c r="L25" s="7"/>
      <c r="M25" s="7"/>
      <c r="N25" s="7"/>
      <c r="O25" s="7"/>
      <c r="P25" s="8"/>
    </row>
    <row r="26" spans="1:16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2" t="s">
        <v>4</v>
      </c>
      <c r="O26" s="7"/>
      <c r="P26" s="17" t="s">
        <v>4</v>
      </c>
    </row>
    <row r="27" spans="1:16">
      <c r="A27" s="6"/>
      <c r="B27" s="7"/>
      <c r="C27" s="7"/>
      <c r="D27" s="7"/>
      <c r="E27" s="7"/>
      <c r="F27" s="7"/>
      <c r="G27" s="7"/>
      <c r="H27" s="7"/>
      <c r="I27" s="7"/>
      <c r="J27" s="7"/>
      <c r="K27" s="23" t="s">
        <v>10</v>
      </c>
      <c r="L27" s="7"/>
      <c r="M27" s="7"/>
      <c r="N27" s="24">
        <f>(L6*G13)/(L6+G11)</f>
        <v>3.5714285714285719E-2</v>
      </c>
      <c r="O27" s="23" t="s">
        <v>10</v>
      </c>
      <c r="P27" s="25">
        <f>(G11*G13)/(L6+G11)</f>
        <v>4.4642857142857144</v>
      </c>
    </row>
    <row r="28" spans="1:16">
      <c r="A28" s="6"/>
      <c r="B28" s="7"/>
      <c r="C28" s="7"/>
      <c r="D28" s="7"/>
      <c r="E28" s="7"/>
      <c r="F28" s="7"/>
      <c r="G28" s="7"/>
      <c r="H28" s="7"/>
      <c r="I28" s="7"/>
      <c r="J28" s="7"/>
      <c r="K28" s="23"/>
      <c r="L28" s="7"/>
      <c r="M28" s="7"/>
      <c r="N28" s="24"/>
      <c r="O28" s="23"/>
      <c r="P28" s="25"/>
    </row>
    <row r="29" spans="1:16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2" t="s">
        <v>13</v>
      </c>
      <c r="O29" s="12">
        <f>+N27+P27</f>
        <v>4.5</v>
      </c>
      <c r="P29" s="17" t="s">
        <v>4</v>
      </c>
    </row>
    <row r="30" spans="1:16" ht="15.75">
      <c r="A30" s="6"/>
      <c r="B30" s="7"/>
      <c r="C30" s="7"/>
      <c r="D30" s="7"/>
      <c r="E30" s="7"/>
      <c r="F30" s="7"/>
      <c r="G30" s="7"/>
      <c r="H30" s="7"/>
      <c r="I30" s="7"/>
      <c r="J30" s="18" t="s">
        <v>41</v>
      </c>
      <c r="K30" s="33"/>
      <c r="L30" s="33"/>
      <c r="M30" s="33"/>
      <c r="N30" s="33"/>
      <c r="O30" s="33"/>
      <c r="P30" s="34"/>
    </row>
    <row r="31" spans="1:16" ht="15.75">
      <c r="A31" s="6"/>
      <c r="B31" s="7"/>
      <c r="C31" s="7" t="str">
        <f>+CONCATENATE(G13,H13)</f>
        <v>4,5 Volt</v>
      </c>
      <c r="D31" s="10" t="str">
        <f>+C8</f>
        <v>BZX85C3V3</v>
      </c>
      <c r="E31" s="7"/>
      <c r="F31" s="7" t="str">
        <f>CONCATENATE(G17,H17)</f>
        <v>444,55 mA</v>
      </c>
      <c r="G31" s="40" t="str">
        <f>CONCATENATE(G11,H11)</f>
        <v>330 Ω</v>
      </c>
      <c r="H31" s="10" t="str">
        <f>CONCATENATE(G18,H18)</f>
        <v>10 mA</v>
      </c>
      <c r="I31" s="7"/>
      <c r="J31" s="18" t="s">
        <v>69</v>
      </c>
      <c r="K31" s="7"/>
      <c r="L31" s="7"/>
      <c r="M31" s="7"/>
      <c r="N31" s="7"/>
      <c r="O31" s="7"/>
      <c r="P31" s="8"/>
    </row>
    <row r="32" spans="1:16" ht="15.75">
      <c r="A32" s="6"/>
      <c r="B32" s="7"/>
      <c r="C32" s="7"/>
      <c r="D32" s="7" t="str">
        <f>+C9</f>
        <v>1500mW 3,1 to 3,5V</v>
      </c>
      <c r="E32" s="7"/>
      <c r="F32" s="7"/>
      <c r="G32" s="7"/>
      <c r="H32" s="7"/>
      <c r="I32" s="7"/>
      <c r="J32" s="16" t="s">
        <v>63</v>
      </c>
      <c r="K32" s="7"/>
      <c r="L32" s="7"/>
      <c r="M32" s="7"/>
      <c r="N32" s="7"/>
      <c r="O32" s="7"/>
      <c r="P32" s="8"/>
    </row>
    <row r="33" spans="1:16" ht="15.75">
      <c r="A33" s="6"/>
      <c r="B33" s="7"/>
      <c r="C33" s="7"/>
      <c r="D33" s="7"/>
      <c r="E33" s="7"/>
      <c r="F33" s="7"/>
      <c r="G33" s="7"/>
      <c r="H33" s="7"/>
      <c r="I33" s="7"/>
      <c r="J33" s="30" t="s">
        <v>51</v>
      </c>
      <c r="K33" s="7"/>
      <c r="L33" s="7"/>
      <c r="M33" s="7"/>
      <c r="N33" s="7"/>
      <c r="O33" s="7"/>
      <c r="P33" s="8"/>
    </row>
    <row r="34" spans="1:16" ht="15.75">
      <c r="A34" s="6"/>
      <c r="B34" s="7"/>
      <c r="C34" s="7"/>
      <c r="D34" s="7"/>
      <c r="E34" s="7"/>
      <c r="F34" s="7"/>
      <c r="G34" s="7"/>
      <c r="H34" s="7"/>
      <c r="I34" s="7"/>
      <c r="J34" s="30" t="s">
        <v>64</v>
      </c>
      <c r="K34" s="7"/>
      <c r="L34" s="7"/>
      <c r="M34" s="7"/>
      <c r="N34" s="7"/>
      <c r="O34" s="7"/>
      <c r="P34" s="8"/>
    </row>
    <row r="35" spans="1:16">
      <c r="A35" s="6"/>
      <c r="B35" s="7"/>
      <c r="C35" s="7"/>
      <c r="D35" s="7"/>
      <c r="E35" s="7"/>
      <c r="F35" s="7"/>
      <c r="G35" s="7"/>
      <c r="H35" s="7"/>
      <c r="I35" s="7"/>
      <c r="J35" s="33"/>
      <c r="K35" s="7"/>
      <c r="L35" s="7"/>
      <c r="M35" s="7"/>
      <c r="N35" s="7"/>
      <c r="O35" s="7"/>
      <c r="P35" s="8"/>
    </row>
    <row r="36" spans="1:16">
      <c r="A36" s="6"/>
      <c r="B36" s="7"/>
      <c r="C36" s="7"/>
      <c r="D36" s="7"/>
      <c r="E36" s="7"/>
      <c r="F36" s="7"/>
      <c r="G36" s="7"/>
      <c r="H36" s="7"/>
      <c r="I36" s="7"/>
      <c r="J36" s="101" t="s">
        <v>27</v>
      </c>
      <c r="K36" s="101"/>
      <c r="L36" s="101"/>
      <c r="M36" s="101"/>
      <c r="N36" s="101"/>
      <c r="O36" s="12"/>
      <c r="P36" s="8"/>
    </row>
    <row r="37" spans="1:16">
      <c r="A37" s="6"/>
      <c r="B37" s="7"/>
      <c r="C37" s="7"/>
      <c r="D37" s="7"/>
      <c r="E37" s="7"/>
      <c r="F37" s="7"/>
      <c r="G37" s="7"/>
      <c r="H37" s="7"/>
      <c r="I37" s="7"/>
      <c r="J37" s="115"/>
      <c r="K37" s="115"/>
      <c r="L37" s="115"/>
      <c r="M37" s="115"/>
      <c r="N37" s="115"/>
      <c r="O37" s="7"/>
      <c r="P37" s="8"/>
    </row>
    <row r="38" spans="1:16">
      <c r="A38" s="6"/>
      <c r="B38" s="7"/>
      <c r="C38" s="7"/>
      <c r="D38" s="7"/>
      <c r="E38" s="7"/>
      <c r="F38" s="7"/>
      <c r="G38" s="7"/>
      <c r="H38" s="7"/>
      <c r="I38" s="7"/>
      <c r="J38" s="98" t="s">
        <v>28</v>
      </c>
      <c r="K38" s="98"/>
      <c r="L38" s="98"/>
      <c r="M38" s="98"/>
      <c r="N38" s="98"/>
      <c r="O38" s="7"/>
      <c r="P38" s="8"/>
    </row>
    <row r="39" spans="1:16">
      <c r="A39" s="6"/>
      <c r="B39" s="7"/>
      <c r="C39" s="7"/>
      <c r="D39" s="7"/>
      <c r="E39" s="7"/>
      <c r="F39" s="7"/>
      <c r="G39" s="7"/>
      <c r="H39" s="7"/>
      <c r="I39" s="7"/>
      <c r="J39" s="31"/>
      <c r="K39" s="31"/>
      <c r="L39" s="31"/>
      <c r="M39" s="31"/>
      <c r="N39" s="32"/>
      <c r="O39" s="7"/>
      <c r="P39" s="8"/>
    </row>
    <row r="40" spans="1:16" ht="18.75">
      <c r="A40" s="6"/>
      <c r="B40" s="7"/>
      <c r="C40" s="7"/>
      <c r="D40" s="7"/>
      <c r="E40" s="7"/>
      <c r="F40" s="7"/>
      <c r="G40" s="7"/>
      <c r="H40" s="7"/>
      <c r="I40" s="7"/>
      <c r="J40" s="95" t="s">
        <v>29</v>
      </c>
      <c r="K40" s="95"/>
      <c r="L40" s="95"/>
      <c r="M40" s="95"/>
      <c r="N40" s="95"/>
      <c r="O40" s="7"/>
      <c r="P40" s="8"/>
    </row>
    <row r="41" spans="1:16" ht="15.75" thickBot="1">
      <c r="A41" s="19"/>
      <c r="B41" s="26" t="s">
        <v>26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96" t="s">
        <v>50</v>
      </c>
      <c r="P41" s="97"/>
    </row>
  </sheetData>
  <mergeCells count="27">
    <mergeCell ref="J40:N40"/>
    <mergeCell ref="O41:P41"/>
    <mergeCell ref="J38:N38"/>
    <mergeCell ref="C8:D8"/>
    <mergeCell ref="C9:D9"/>
    <mergeCell ref="J9:J10"/>
    <mergeCell ref="K9:K10"/>
    <mergeCell ref="L9:L10"/>
    <mergeCell ref="M9:M10"/>
    <mergeCell ref="L18:L19"/>
    <mergeCell ref="M18:M19"/>
    <mergeCell ref="J36:N36"/>
    <mergeCell ref="N9:P10"/>
    <mergeCell ref="L14:L15"/>
    <mergeCell ref="M14:M15"/>
    <mergeCell ref="B1:O1"/>
    <mergeCell ref="K6:K7"/>
    <mergeCell ref="L6:L7"/>
    <mergeCell ref="M6:M7"/>
    <mergeCell ref="N6:P7"/>
    <mergeCell ref="C4:E4"/>
    <mergeCell ref="D5:D6"/>
    <mergeCell ref="G5:G6"/>
    <mergeCell ref="F5:F6"/>
    <mergeCell ref="H5:H6"/>
    <mergeCell ref="E5:E6"/>
    <mergeCell ref="F4:H4"/>
  </mergeCells>
  <hyperlinks>
    <hyperlink ref="J38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Q41"/>
  <sheetViews>
    <sheetView workbookViewId="0"/>
  </sheetViews>
  <sheetFormatPr defaultColWidth="8.85546875" defaultRowHeight="15"/>
  <cols>
    <col min="1" max="1" width="2.7109375" style="1" customWidth="1"/>
    <col min="2" max="4" width="12.7109375" style="1" customWidth="1"/>
    <col min="5" max="5" width="11.7109375" style="1" customWidth="1"/>
    <col min="6" max="6" width="15.7109375" style="1" customWidth="1"/>
    <col min="7" max="9" width="10.7109375" style="1" customWidth="1"/>
    <col min="10" max="10" width="15" style="1" customWidth="1"/>
    <col min="11" max="18" width="10.7109375" style="1" customWidth="1"/>
    <col min="19" max="16384" width="8.85546875" style="1"/>
  </cols>
  <sheetData>
    <row r="1" spans="1:16">
      <c r="A1" s="4"/>
      <c r="B1" s="103" t="s">
        <v>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5"/>
    </row>
    <row r="2" spans="1:16">
      <c r="A2" s="6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8"/>
    </row>
    <row r="3" spans="1:16">
      <c r="A3" s="6"/>
      <c r="B3" s="9" t="s">
        <v>37</v>
      </c>
      <c r="C3" s="7"/>
      <c r="D3" s="7"/>
      <c r="E3" s="7"/>
      <c r="F3" s="7"/>
      <c r="G3" s="7"/>
      <c r="H3" s="7"/>
      <c r="I3" s="29"/>
      <c r="J3" s="9" t="s">
        <v>5</v>
      </c>
      <c r="K3" s="7"/>
      <c r="L3" s="7"/>
      <c r="M3" s="7"/>
      <c r="N3" s="7"/>
      <c r="O3" s="7"/>
      <c r="P3" s="8"/>
    </row>
    <row r="4" spans="1:16">
      <c r="A4" s="6"/>
      <c r="B4" s="9" t="s">
        <v>15</v>
      </c>
      <c r="C4" s="90" t="s">
        <v>3</v>
      </c>
      <c r="D4" s="90"/>
      <c r="E4" s="90"/>
      <c r="F4" s="94" t="s">
        <v>56</v>
      </c>
      <c r="G4" s="94"/>
      <c r="H4" s="94"/>
      <c r="I4" s="29"/>
      <c r="J4" s="9" t="s">
        <v>6</v>
      </c>
      <c r="K4" s="7"/>
      <c r="L4" s="7"/>
      <c r="M4" s="7"/>
      <c r="N4" s="7"/>
      <c r="O4" s="7"/>
      <c r="P4" s="8"/>
    </row>
    <row r="5" spans="1:16">
      <c r="A5" s="6"/>
      <c r="B5" s="7"/>
      <c r="C5" s="7"/>
      <c r="D5" s="91">
        <f>ROUND(G10/G12,0)</f>
        <v>455</v>
      </c>
      <c r="E5" s="85" t="s">
        <v>0</v>
      </c>
      <c r="F5" s="93" t="s">
        <v>58</v>
      </c>
      <c r="G5" s="92">
        <v>80</v>
      </c>
      <c r="H5" s="85" t="s">
        <v>0</v>
      </c>
      <c r="I5" s="29"/>
      <c r="J5" s="7"/>
      <c r="K5" s="7"/>
      <c r="L5" s="7"/>
      <c r="M5" s="7"/>
      <c r="N5" s="7"/>
      <c r="O5" s="7"/>
      <c r="P5" s="8"/>
    </row>
    <row r="6" spans="1:16" ht="18" customHeight="1">
      <c r="A6" s="6"/>
      <c r="B6" s="7"/>
      <c r="C6" s="7"/>
      <c r="D6" s="91"/>
      <c r="E6" s="85"/>
      <c r="F6" s="93"/>
      <c r="G6" s="92"/>
      <c r="H6" s="85"/>
      <c r="I6" s="7"/>
      <c r="J6" s="7"/>
      <c r="K6" s="85" t="s">
        <v>12</v>
      </c>
      <c r="L6" s="86">
        <f>ROUND((G14/D5)*1000,2)</f>
        <v>2.64</v>
      </c>
      <c r="M6" s="87" t="s">
        <v>1</v>
      </c>
      <c r="N6" s="88" t="s">
        <v>57</v>
      </c>
      <c r="O6" s="88"/>
      <c r="P6" s="89"/>
    </row>
    <row r="7" spans="1:16" ht="18" customHeight="1">
      <c r="A7" s="6"/>
      <c r="B7" s="7"/>
      <c r="C7" s="7"/>
      <c r="D7" s="7"/>
      <c r="E7" s="7"/>
      <c r="F7" s="7"/>
      <c r="G7" s="7"/>
      <c r="H7" s="7"/>
      <c r="I7" s="7"/>
      <c r="J7" s="7"/>
      <c r="K7" s="85"/>
      <c r="L7" s="86"/>
      <c r="M7" s="85"/>
      <c r="N7" s="88"/>
      <c r="O7" s="88"/>
      <c r="P7" s="89"/>
    </row>
    <row r="8" spans="1:16" ht="24" customHeight="1">
      <c r="A8" s="6"/>
      <c r="B8" s="22" t="s">
        <v>14</v>
      </c>
      <c r="C8" s="102" t="s">
        <v>71</v>
      </c>
      <c r="D8" s="10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18" customHeight="1">
      <c r="A9" s="6"/>
      <c r="B9" s="22" t="s">
        <v>31</v>
      </c>
      <c r="C9" s="100" t="s">
        <v>72</v>
      </c>
      <c r="D9" s="100"/>
      <c r="E9" s="7"/>
      <c r="F9" s="7"/>
      <c r="G9" s="7"/>
      <c r="H9" s="7"/>
      <c r="I9" s="7"/>
      <c r="J9" s="88" t="s">
        <v>62</v>
      </c>
      <c r="K9" s="85" t="s">
        <v>53</v>
      </c>
      <c r="L9" s="86">
        <f>ROUND((G14/G5)*1000,2)</f>
        <v>15</v>
      </c>
      <c r="M9" s="87" t="s">
        <v>1</v>
      </c>
      <c r="N9" s="88" t="s">
        <v>60</v>
      </c>
      <c r="O9" s="88"/>
      <c r="P9" s="89"/>
    </row>
    <row r="10" spans="1:16" ht="18" customHeight="1">
      <c r="A10" s="6"/>
      <c r="B10" s="7" t="s">
        <v>67</v>
      </c>
      <c r="C10" s="7"/>
      <c r="D10" s="7"/>
      <c r="E10" s="10"/>
      <c r="F10" s="10"/>
      <c r="G10" s="11">
        <v>1500</v>
      </c>
      <c r="H10" s="35" t="s">
        <v>76</v>
      </c>
      <c r="I10" s="7"/>
      <c r="J10" s="88"/>
      <c r="K10" s="85"/>
      <c r="L10" s="86"/>
      <c r="M10" s="85"/>
      <c r="N10" s="88"/>
      <c r="O10" s="88"/>
      <c r="P10" s="89"/>
    </row>
    <row r="11" spans="1:16" ht="18" customHeight="1">
      <c r="A11" s="6"/>
      <c r="B11" s="13" t="s">
        <v>23</v>
      </c>
      <c r="C11" s="7"/>
      <c r="D11" s="21"/>
      <c r="E11" s="10"/>
      <c r="F11" s="10"/>
      <c r="G11" s="14">
        <v>330</v>
      </c>
      <c r="H11" s="15" t="s">
        <v>73</v>
      </c>
      <c r="I11" s="7"/>
      <c r="J11" s="7"/>
      <c r="K11" s="7"/>
      <c r="L11" s="7"/>
      <c r="M11" s="7"/>
      <c r="N11" s="7"/>
      <c r="O11" s="7"/>
      <c r="P11" s="8"/>
    </row>
    <row r="12" spans="1:16" ht="15" customHeight="1">
      <c r="A12" s="6"/>
      <c r="B12" s="13" t="s">
        <v>16</v>
      </c>
      <c r="C12" s="16"/>
      <c r="D12" s="7"/>
      <c r="E12" s="7"/>
      <c r="F12" s="7"/>
      <c r="G12" s="11">
        <v>3.3</v>
      </c>
      <c r="H12" s="35" t="s">
        <v>74</v>
      </c>
      <c r="I12" s="7"/>
      <c r="J12" s="9" t="s">
        <v>7</v>
      </c>
      <c r="K12" s="7"/>
      <c r="L12" s="7"/>
      <c r="M12" s="7"/>
      <c r="N12" s="7"/>
      <c r="O12" s="7"/>
      <c r="P12" s="8"/>
    </row>
    <row r="13" spans="1:16" ht="15" customHeight="1">
      <c r="A13" s="6"/>
      <c r="B13" s="13" t="s">
        <v>22</v>
      </c>
      <c r="C13" s="16"/>
      <c r="D13" s="7"/>
      <c r="E13" s="7"/>
      <c r="F13" s="7"/>
      <c r="G13" s="11">
        <v>4.5</v>
      </c>
      <c r="H13" s="35" t="s">
        <v>74</v>
      </c>
      <c r="I13" s="7"/>
      <c r="J13" s="7"/>
      <c r="K13" s="7"/>
      <c r="L13" s="7"/>
      <c r="M13" s="7"/>
      <c r="N13" s="7"/>
      <c r="O13" s="7"/>
      <c r="P13" s="8"/>
    </row>
    <row r="14" spans="1:16" ht="15" customHeight="1">
      <c r="A14" s="6"/>
      <c r="B14" s="13" t="s">
        <v>17</v>
      </c>
      <c r="C14" s="16"/>
      <c r="D14" s="7"/>
      <c r="E14" s="7"/>
      <c r="F14" s="7"/>
      <c r="G14" s="12">
        <f>G13-G12</f>
        <v>1.2000000000000002</v>
      </c>
      <c r="H14" s="35" t="s">
        <v>74</v>
      </c>
      <c r="I14" s="7"/>
      <c r="J14" s="7"/>
      <c r="K14" s="12"/>
      <c r="L14" s="86">
        <f>ROUND((G15/G11)*1000,2)</f>
        <v>10</v>
      </c>
      <c r="M14" s="85" t="s">
        <v>0</v>
      </c>
      <c r="N14" s="23"/>
      <c r="O14" s="7"/>
      <c r="P14" s="8"/>
    </row>
    <row r="15" spans="1:16" ht="15" customHeight="1">
      <c r="A15" s="6"/>
      <c r="B15" s="13" t="s">
        <v>18</v>
      </c>
      <c r="C15" s="16"/>
      <c r="D15" s="7"/>
      <c r="E15" s="7"/>
      <c r="F15" s="7"/>
      <c r="G15" s="12">
        <f>+G12</f>
        <v>3.3</v>
      </c>
      <c r="H15" s="35" t="s">
        <v>74</v>
      </c>
      <c r="I15" s="7"/>
      <c r="J15" s="7"/>
      <c r="K15" s="12"/>
      <c r="L15" s="86"/>
      <c r="M15" s="85"/>
      <c r="N15" s="23"/>
      <c r="O15" s="7"/>
      <c r="P15" s="8"/>
    </row>
    <row r="16" spans="1:16" ht="15" customHeight="1">
      <c r="A16" s="6"/>
      <c r="B16" s="13" t="s">
        <v>19</v>
      </c>
      <c r="C16" s="16"/>
      <c r="D16" s="7"/>
      <c r="E16" s="7"/>
      <c r="F16" s="7"/>
      <c r="G16" s="27">
        <f>ROUND((G14/L6)*1000,2)</f>
        <v>454.55</v>
      </c>
      <c r="H16" s="35" t="s">
        <v>75</v>
      </c>
      <c r="I16" s="7"/>
      <c r="J16" s="7"/>
      <c r="K16" s="7"/>
      <c r="L16" s="7"/>
      <c r="M16" s="7"/>
      <c r="N16" s="7"/>
      <c r="O16" s="7"/>
      <c r="P16" s="8"/>
    </row>
    <row r="17" spans="1:17" ht="15" customHeight="1">
      <c r="A17" s="6"/>
      <c r="B17" s="13" t="s">
        <v>20</v>
      </c>
      <c r="C17" s="16"/>
      <c r="D17" s="7"/>
      <c r="E17" s="7"/>
      <c r="F17" s="3" t="str">
        <f>IF(G17=D5,"Imax for Zener",IF(G17&lt;D5,"Zener diode OK"))</f>
        <v>Zener diode OK</v>
      </c>
      <c r="G17" s="27">
        <f>+L18</f>
        <v>444.55</v>
      </c>
      <c r="H17" s="35" t="s">
        <v>75</v>
      </c>
      <c r="I17" s="7"/>
      <c r="J17" s="9" t="s">
        <v>8</v>
      </c>
      <c r="K17" s="7"/>
      <c r="L17" s="7"/>
      <c r="M17" s="7"/>
      <c r="N17" s="7"/>
      <c r="O17" s="7"/>
      <c r="P17" s="8"/>
    </row>
    <row r="18" spans="1:17" ht="15" customHeight="1">
      <c r="A18" s="6"/>
      <c r="B18" s="13" t="s">
        <v>21</v>
      </c>
      <c r="C18" s="16"/>
      <c r="D18" s="7"/>
      <c r="E18" s="7"/>
      <c r="F18" s="7"/>
      <c r="G18" s="27">
        <f>+L14</f>
        <v>10</v>
      </c>
      <c r="H18" s="35" t="s">
        <v>75</v>
      </c>
      <c r="I18" s="7"/>
      <c r="J18" s="7"/>
      <c r="K18" s="7"/>
      <c r="L18" s="91">
        <f>ROUND(G16-G18,2)</f>
        <v>444.55</v>
      </c>
      <c r="M18" s="85" t="s">
        <v>0</v>
      </c>
      <c r="N18" s="7"/>
      <c r="O18" s="7"/>
      <c r="P18" s="8"/>
    </row>
    <row r="19" spans="1:17" ht="15" customHeight="1">
      <c r="A19" s="6"/>
      <c r="B19" s="33"/>
      <c r="C19" s="33"/>
      <c r="D19" s="33"/>
      <c r="E19" s="33"/>
      <c r="F19" s="33"/>
      <c r="G19" s="33"/>
      <c r="H19" s="33"/>
      <c r="I19" s="7"/>
      <c r="J19" s="7"/>
      <c r="K19" s="7"/>
      <c r="L19" s="91"/>
      <c r="M19" s="85"/>
      <c r="N19" s="7"/>
      <c r="O19" s="7"/>
      <c r="P19" s="8"/>
    </row>
    <row r="20" spans="1:17" ht="15" customHeight="1">
      <c r="A20" s="6"/>
      <c r="B20" s="33"/>
      <c r="C20" s="33"/>
      <c r="D20" s="33"/>
      <c r="E20" s="33"/>
      <c r="F20" s="37"/>
      <c r="G20" s="33"/>
      <c r="H20" s="33"/>
      <c r="I20" s="7"/>
      <c r="J20" s="7"/>
      <c r="K20" s="7"/>
      <c r="L20" s="7"/>
      <c r="M20" s="7"/>
      <c r="N20" s="7"/>
      <c r="O20" s="7"/>
      <c r="P20" s="8"/>
    </row>
    <row r="21" spans="1:17">
      <c r="A21" s="6"/>
      <c r="B21" s="33"/>
      <c r="C21" s="33"/>
      <c r="D21" s="33"/>
      <c r="E21" s="33"/>
      <c r="F21" s="33"/>
      <c r="G21" s="33"/>
      <c r="H21" s="33"/>
      <c r="I21" s="7"/>
      <c r="J21" s="9" t="s">
        <v>9</v>
      </c>
      <c r="K21" s="7"/>
      <c r="L21" s="7"/>
      <c r="M21" s="7"/>
      <c r="N21" s="7"/>
      <c r="O21" s="7"/>
      <c r="P21" s="8"/>
    </row>
    <row r="22" spans="1:17">
      <c r="A22" s="6"/>
      <c r="B22" s="33"/>
      <c r="C22" s="33"/>
      <c r="D22" s="33"/>
      <c r="E22" s="33"/>
      <c r="F22" s="33"/>
      <c r="G22" s="33"/>
      <c r="H22" s="33"/>
      <c r="I22" s="7"/>
      <c r="J22" s="7"/>
      <c r="K22" s="7"/>
      <c r="L22" s="7"/>
      <c r="M22" s="7"/>
      <c r="N22" s="7"/>
      <c r="O22" s="7"/>
      <c r="P22" s="8"/>
    </row>
    <row r="23" spans="1:17">
      <c r="A23" s="6"/>
      <c r="B23" s="7"/>
      <c r="C23" s="35" t="str">
        <f>CONCATENATE(L6,H11)</f>
        <v>2,64 Ω</v>
      </c>
      <c r="D23" s="35" t="str">
        <f>CONCATENATE(G16,H16)</f>
        <v>454,55 mA</v>
      </c>
      <c r="E23" s="7"/>
      <c r="F23" s="38" t="str">
        <f>CONCATENATE(G12,H12)</f>
        <v>3,3 Volt</v>
      </c>
      <c r="G23" s="7"/>
      <c r="H23" s="7"/>
      <c r="I23" s="7"/>
      <c r="J23" s="7"/>
      <c r="K23" s="12" t="s">
        <v>10</v>
      </c>
      <c r="L23" s="7"/>
      <c r="M23" s="12">
        <f>G13-G15</f>
        <v>1.2000000000000002</v>
      </c>
      <c r="N23" s="12" t="s">
        <v>10</v>
      </c>
      <c r="O23" s="12">
        <f>+G12</f>
        <v>3.3</v>
      </c>
      <c r="P23" s="8" t="s">
        <v>4</v>
      </c>
    </row>
    <row r="24" spans="1:17">
      <c r="A24" s="6"/>
      <c r="B24" s="7"/>
      <c r="C24" s="36" t="s">
        <v>77</v>
      </c>
      <c r="D24" s="36" t="str">
        <f>CONCATENATE(G14,H14)</f>
        <v>1,2 Volt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7">
      <c r="A25" s="6"/>
      <c r="B25" s="7"/>
      <c r="C25" s="7"/>
      <c r="D25" s="7"/>
      <c r="E25" s="7"/>
      <c r="F25" s="7"/>
      <c r="G25" s="7"/>
      <c r="H25" s="7"/>
      <c r="I25" s="7"/>
      <c r="J25" s="9" t="s">
        <v>11</v>
      </c>
      <c r="K25" s="7"/>
      <c r="L25" s="7"/>
      <c r="M25" s="7"/>
      <c r="N25" s="7"/>
      <c r="O25" s="7"/>
      <c r="P25" s="8"/>
    </row>
    <row r="26" spans="1:17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2" t="s">
        <v>4</v>
      </c>
      <c r="O26" s="7"/>
      <c r="P26" s="17" t="s">
        <v>4</v>
      </c>
    </row>
    <row r="27" spans="1:17">
      <c r="A27" s="6"/>
      <c r="B27" s="7"/>
      <c r="C27" s="7"/>
      <c r="D27" s="7"/>
      <c r="E27" s="7"/>
      <c r="F27" s="7"/>
      <c r="G27" s="7"/>
      <c r="H27" s="7"/>
      <c r="I27" s="7"/>
      <c r="J27" s="7"/>
      <c r="K27" s="23" t="s">
        <v>10</v>
      </c>
      <c r="L27" s="7"/>
      <c r="M27" s="7"/>
      <c r="N27" s="24">
        <f>(L6*G13)/(L6+G11)</f>
        <v>3.5714285714285719E-2</v>
      </c>
      <c r="O27" s="23" t="s">
        <v>10</v>
      </c>
      <c r="P27" s="25">
        <f>(G11*G13)/(L6+G11)</f>
        <v>4.4642857142857144</v>
      </c>
    </row>
    <row r="28" spans="1:17">
      <c r="A28" s="6"/>
      <c r="B28" s="7"/>
      <c r="C28" s="7"/>
      <c r="D28" s="7"/>
      <c r="E28" s="7"/>
      <c r="F28" s="7"/>
      <c r="G28" s="7"/>
      <c r="H28" s="7"/>
      <c r="I28" s="7"/>
      <c r="J28" s="7"/>
      <c r="K28" s="23"/>
      <c r="L28" s="7"/>
      <c r="M28" s="7"/>
      <c r="N28" s="24"/>
      <c r="O28" s="23"/>
      <c r="P28" s="25"/>
      <c r="Q28" s="2"/>
    </row>
    <row r="29" spans="1:17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2" t="s">
        <v>13</v>
      </c>
      <c r="O29" s="12">
        <f>+N27+P27</f>
        <v>4.5</v>
      </c>
      <c r="P29" s="17" t="s">
        <v>4</v>
      </c>
      <c r="Q29" s="2"/>
    </row>
    <row r="30" spans="1:17" ht="15.75">
      <c r="A30" s="6"/>
      <c r="B30" s="7"/>
      <c r="C30" s="7"/>
      <c r="D30" s="7"/>
      <c r="E30" s="7"/>
      <c r="F30" s="7"/>
      <c r="G30" s="7"/>
      <c r="H30" s="7"/>
      <c r="I30" s="7"/>
      <c r="J30" s="18" t="s">
        <v>24</v>
      </c>
      <c r="K30" s="7"/>
      <c r="L30" s="7"/>
      <c r="M30" s="7"/>
      <c r="N30" s="7"/>
      <c r="O30" s="7"/>
      <c r="P30" s="8"/>
    </row>
    <row r="31" spans="1:17" ht="15.75">
      <c r="A31" s="6"/>
      <c r="B31" s="7"/>
      <c r="C31" s="7" t="str">
        <f>+CONCATENATE(G13,H13)</f>
        <v>4,5 Volt</v>
      </c>
      <c r="D31" s="10" t="str">
        <f>+C8</f>
        <v>BZX85C3V3</v>
      </c>
      <c r="E31" s="7"/>
      <c r="F31" s="7" t="str">
        <f>CONCATENATE(G17,H17)</f>
        <v>444,55 mA</v>
      </c>
      <c r="G31" s="39" t="str">
        <f>CONCATENATE(G11,H11)</f>
        <v>330 Ω</v>
      </c>
      <c r="H31" s="10" t="str">
        <f>CONCATENATE(G18,H18)</f>
        <v>10 mA</v>
      </c>
      <c r="I31" s="7"/>
      <c r="J31" s="18" t="s">
        <v>70</v>
      </c>
      <c r="K31" s="7"/>
      <c r="L31" s="7"/>
      <c r="M31" s="7"/>
      <c r="N31" s="7"/>
      <c r="O31" s="7"/>
      <c r="P31" s="8"/>
    </row>
    <row r="32" spans="1:17" ht="16.149999999999999" customHeight="1">
      <c r="A32" s="6"/>
      <c r="B32" s="7"/>
      <c r="C32" s="7"/>
      <c r="D32" s="7" t="str">
        <f>+C9</f>
        <v>1500mW 3,1 to 3,5V</v>
      </c>
      <c r="E32" s="7"/>
      <c r="F32" s="7"/>
      <c r="G32" s="7"/>
      <c r="H32" s="7"/>
      <c r="I32" s="7"/>
      <c r="J32" s="16" t="s">
        <v>25</v>
      </c>
      <c r="K32" s="7"/>
      <c r="L32" s="7"/>
      <c r="M32" s="7"/>
      <c r="N32" s="7"/>
      <c r="O32" s="7"/>
      <c r="P32" s="8"/>
    </row>
    <row r="33" spans="1:16" ht="16.149999999999999" customHeight="1">
      <c r="A33" s="6"/>
      <c r="B33" s="7"/>
      <c r="C33" s="7"/>
      <c r="D33" s="7"/>
      <c r="E33" s="7"/>
      <c r="F33" s="7"/>
      <c r="G33" s="7"/>
      <c r="H33" s="7"/>
      <c r="I33" s="7"/>
      <c r="J33" s="30" t="s">
        <v>30</v>
      </c>
      <c r="K33" s="7"/>
      <c r="L33" s="7"/>
      <c r="M33" s="7"/>
      <c r="N33" s="7"/>
      <c r="O33" s="7"/>
      <c r="P33" s="8"/>
    </row>
    <row r="34" spans="1:16" ht="16.149999999999999" customHeight="1">
      <c r="A34" s="6"/>
      <c r="B34" s="7"/>
      <c r="C34" s="7"/>
      <c r="D34" s="7"/>
      <c r="E34" s="7"/>
      <c r="F34" s="7"/>
      <c r="G34" s="7"/>
      <c r="H34" s="7"/>
      <c r="I34" s="7"/>
      <c r="J34" s="30" t="s">
        <v>65</v>
      </c>
      <c r="K34" s="7"/>
      <c r="L34" s="7"/>
      <c r="M34" s="7"/>
      <c r="N34" s="7"/>
      <c r="O34" s="7"/>
      <c r="P34" s="8"/>
    </row>
    <row r="35" spans="1:16" ht="16.149999999999999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</row>
    <row r="36" spans="1:16" ht="16.149999999999999" customHeight="1">
      <c r="A36" s="6"/>
      <c r="B36" s="7"/>
      <c r="C36" s="7"/>
      <c r="D36" s="7"/>
      <c r="E36" s="7"/>
      <c r="F36" s="7"/>
      <c r="G36" s="7"/>
      <c r="H36" s="7"/>
      <c r="I36" s="7"/>
      <c r="J36" s="101" t="s">
        <v>42</v>
      </c>
      <c r="K36" s="101"/>
      <c r="L36" s="101"/>
      <c r="M36" s="101"/>
      <c r="N36" s="101"/>
      <c r="O36" s="12"/>
      <c r="P36" s="8"/>
    </row>
    <row r="37" spans="1:16" ht="16.149999999999999" customHeight="1">
      <c r="A37" s="6"/>
      <c r="B37" s="7"/>
      <c r="C37" s="7"/>
      <c r="D37" s="7"/>
      <c r="E37" s="7"/>
      <c r="F37" s="7"/>
      <c r="G37" s="7"/>
      <c r="H37" s="7"/>
      <c r="I37" s="7"/>
      <c r="J37" s="115"/>
      <c r="K37" s="115"/>
      <c r="L37" s="115"/>
      <c r="M37" s="115"/>
      <c r="N37" s="115"/>
      <c r="O37" s="7"/>
      <c r="P37" s="8"/>
    </row>
    <row r="38" spans="1:16">
      <c r="A38" s="6"/>
      <c r="B38" s="7"/>
      <c r="C38" s="7"/>
      <c r="D38" s="7"/>
      <c r="E38" s="7"/>
      <c r="F38" s="7"/>
      <c r="G38" s="7"/>
      <c r="H38" s="7"/>
      <c r="I38" s="7"/>
      <c r="J38" s="98" t="s">
        <v>28</v>
      </c>
      <c r="K38" s="98"/>
      <c r="L38" s="98"/>
      <c r="M38" s="98"/>
      <c r="N38" s="98"/>
      <c r="O38" s="7"/>
      <c r="P38" s="8"/>
    </row>
    <row r="39" spans="1:16">
      <c r="A39" s="6"/>
      <c r="B39" s="7"/>
      <c r="C39" s="7"/>
      <c r="D39" s="7"/>
      <c r="E39" s="7"/>
      <c r="F39" s="7"/>
      <c r="G39" s="7"/>
      <c r="H39" s="7"/>
      <c r="I39" s="7"/>
      <c r="J39" s="31"/>
      <c r="K39" s="31"/>
      <c r="L39" s="31"/>
      <c r="M39" s="31"/>
      <c r="N39" s="32"/>
      <c r="O39" s="7"/>
      <c r="P39" s="8"/>
    </row>
    <row r="40" spans="1:16" ht="18.75">
      <c r="A40" s="6"/>
      <c r="B40" s="7"/>
      <c r="C40" s="7"/>
      <c r="D40" s="7"/>
      <c r="E40" s="7"/>
      <c r="F40" s="7"/>
      <c r="G40" s="7"/>
      <c r="H40" s="7"/>
      <c r="I40" s="7"/>
      <c r="J40" s="95" t="s">
        <v>29</v>
      </c>
      <c r="K40" s="95"/>
      <c r="L40" s="95"/>
      <c r="M40" s="95"/>
      <c r="N40" s="95"/>
      <c r="O40" s="7"/>
      <c r="P40" s="8"/>
    </row>
    <row r="41" spans="1:16" ht="15.75" thickBot="1">
      <c r="A41" s="19"/>
      <c r="B41" s="26" t="s">
        <v>26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96" t="s">
        <v>50</v>
      </c>
      <c r="P41" s="97"/>
    </row>
  </sheetData>
  <mergeCells count="27">
    <mergeCell ref="O41:P41"/>
    <mergeCell ref="J40:N40"/>
    <mergeCell ref="F5:F6"/>
    <mergeCell ref="L14:L15"/>
    <mergeCell ref="M14:M15"/>
    <mergeCell ref="L18:L19"/>
    <mergeCell ref="M18:M19"/>
    <mergeCell ref="J36:N36"/>
    <mergeCell ref="J38:N38"/>
    <mergeCell ref="G5:G6"/>
    <mergeCell ref="H5:H6"/>
    <mergeCell ref="C8:D8"/>
    <mergeCell ref="C9:D9"/>
    <mergeCell ref="C4:E4"/>
    <mergeCell ref="B1:O1"/>
    <mergeCell ref="K6:K7"/>
    <mergeCell ref="L6:L7"/>
    <mergeCell ref="M6:M7"/>
    <mergeCell ref="N6:P7"/>
    <mergeCell ref="J9:J10"/>
    <mergeCell ref="K9:K10"/>
    <mergeCell ref="L9:L10"/>
    <mergeCell ref="M9:M10"/>
    <mergeCell ref="N9:P10"/>
    <mergeCell ref="D5:D6"/>
    <mergeCell ref="E5:E6"/>
    <mergeCell ref="F4:H4"/>
  </mergeCells>
  <hyperlinks>
    <hyperlink ref="J38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P50"/>
  <sheetViews>
    <sheetView workbookViewId="0"/>
  </sheetViews>
  <sheetFormatPr defaultColWidth="8.85546875" defaultRowHeight="15.75"/>
  <cols>
    <col min="1" max="1" width="2.7109375" style="46" customWidth="1"/>
    <col min="2" max="7" width="13.7109375" style="46" customWidth="1"/>
    <col min="8" max="8" width="16.7109375" style="46" bestFit="1" customWidth="1"/>
    <col min="9" max="12" width="13.7109375" style="46" customWidth="1"/>
    <col min="13" max="13" width="16.28515625" style="46" bestFit="1" customWidth="1"/>
    <col min="14" max="14" width="8.7109375" style="46" customWidth="1"/>
    <col min="15" max="15" width="12.7109375" style="46" customWidth="1"/>
    <col min="16" max="16384" width="8.85546875" style="46"/>
  </cols>
  <sheetData>
    <row r="1" spans="1:16">
      <c r="A1" s="45"/>
      <c r="B1" s="84" t="s">
        <v>115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08"/>
      <c r="O1" s="42"/>
      <c r="P1" s="42"/>
    </row>
    <row r="2" spans="1:16" ht="16.5" thickBot="1">
      <c r="A2" s="47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8"/>
    </row>
    <row r="3" spans="1:16">
      <c r="A3" s="47"/>
      <c r="B3" s="49" t="s">
        <v>78</v>
      </c>
      <c r="C3" s="50" t="s">
        <v>89</v>
      </c>
      <c r="D3" s="50" t="s">
        <v>79</v>
      </c>
      <c r="E3" s="50" t="s">
        <v>80</v>
      </c>
      <c r="F3" s="50" t="s">
        <v>81</v>
      </c>
      <c r="G3" s="50" t="s">
        <v>82</v>
      </c>
      <c r="H3" s="50" t="s">
        <v>95</v>
      </c>
      <c r="I3" s="50" t="s">
        <v>84</v>
      </c>
      <c r="J3" s="50" t="s">
        <v>85</v>
      </c>
      <c r="K3" s="50" t="s">
        <v>86</v>
      </c>
      <c r="L3" s="50" t="s">
        <v>87</v>
      </c>
      <c r="M3" s="75" t="s">
        <v>113</v>
      </c>
      <c r="N3" s="48"/>
    </row>
    <row r="4" spans="1:16">
      <c r="A4" s="47"/>
      <c r="B4" s="51" t="s">
        <v>93</v>
      </c>
      <c r="C4" s="52" t="s">
        <v>92</v>
      </c>
      <c r="D4" s="52" t="s">
        <v>92</v>
      </c>
      <c r="E4" s="53" t="s">
        <v>73</v>
      </c>
      <c r="F4" s="53" t="s">
        <v>73</v>
      </c>
      <c r="G4" s="53" t="s">
        <v>73</v>
      </c>
      <c r="H4" s="53" t="s">
        <v>75</v>
      </c>
      <c r="I4" s="53" t="s">
        <v>92</v>
      </c>
      <c r="J4" s="53" t="s">
        <v>92</v>
      </c>
      <c r="K4" s="53" t="s">
        <v>94</v>
      </c>
      <c r="L4" s="53" t="s">
        <v>94</v>
      </c>
      <c r="M4" s="54" t="s">
        <v>94</v>
      </c>
      <c r="N4" s="48"/>
    </row>
    <row r="5" spans="1:16" ht="16.5" thickBot="1">
      <c r="A5" s="47"/>
      <c r="B5" s="55" t="s">
        <v>83</v>
      </c>
      <c r="C5" s="56">
        <v>2.4950000000000001</v>
      </c>
      <c r="D5" s="57">
        <v>4.5</v>
      </c>
      <c r="E5" s="57">
        <v>3900</v>
      </c>
      <c r="F5" s="57">
        <v>12000</v>
      </c>
      <c r="G5" s="57">
        <v>470</v>
      </c>
      <c r="H5" s="58">
        <f>ROUND(((D5-G14)/G5)*1000,2)</f>
        <v>2.5299999999999998</v>
      </c>
      <c r="I5" s="59">
        <f>G14-C5</f>
        <v>0.81499999999999995</v>
      </c>
      <c r="J5" s="60">
        <f>+C5</f>
        <v>2.4950000000000001</v>
      </c>
      <c r="K5" s="59">
        <f>(I5/E5)*10^6</f>
        <v>208.97435897435895</v>
      </c>
      <c r="L5" s="59">
        <f>(J5/F5)*10^6</f>
        <v>207.91666666666669</v>
      </c>
      <c r="M5" s="82">
        <v>1.06</v>
      </c>
      <c r="N5" s="48"/>
    </row>
    <row r="6" spans="1:16">
      <c r="A6" s="47"/>
      <c r="B6" s="43"/>
      <c r="C6" s="43"/>
      <c r="D6" s="61" t="str">
        <f>IF(D5&lt;E6,"Vin for lille",IF(D5&lt;E7,"Vin er OK",IF(D5&gt;E7,"Vin for stor")))</f>
        <v>Vin er OK</v>
      </c>
      <c r="E6" s="77">
        <v>2.5</v>
      </c>
      <c r="F6" s="43"/>
      <c r="G6" s="30"/>
      <c r="H6" s="61" t="str">
        <f>IF(H5&lt;I6,"Icathode for lille",IF(H5&lt;I7,"Icathode er OK",IF(H5&gt;I7,"Icathode for stor")))</f>
        <v>Icathode er OK</v>
      </c>
      <c r="I6" s="79">
        <v>1</v>
      </c>
      <c r="J6" s="63"/>
      <c r="K6" s="30"/>
      <c r="L6" s="43"/>
      <c r="M6" s="61" t="str">
        <f>IF(M5&lt;N6,"Iref for lille",IF(M5&lt;=N7,"Iref er OK",IF(M5&gt;N7,"Iref for stor")))</f>
        <v>Iref er OK</v>
      </c>
      <c r="N6" s="80">
        <v>1</v>
      </c>
      <c r="O6" s="64"/>
    </row>
    <row r="7" spans="1:16">
      <c r="A7" s="47"/>
      <c r="B7" s="43"/>
      <c r="C7" s="43"/>
      <c r="D7" s="78" t="s">
        <v>116</v>
      </c>
      <c r="E7" s="77">
        <v>36</v>
      </c>
      <c r="F7" s="43"/>
      <c r="G7" s="30"/>
      <c r="H7" s="78" t="s">
        <v>117</v>
      </c>
      <c r="I7" s="79">
        <v>100</v>
      </c>
      <c r="J7" s="63"/>
      <c r="K7" s="30"/>
      <c r="L7" s="43"/>
      <c r="M7" s="83">
        <f>ROUND(K5-L5,2)</f>
        <v>1.06</v>
      </c>
      <c r="N7" s="80">
        <v>4</v>
      </c>
      <c r="O7" s="64"/>
    </row>
    <row r="8" spans="1:16">
      <c r="A8" s="47"/>
      <c r="B8" s="43"/>
      <c r="C8" s="43"/>
      <c r="D8" s="62"/>
      <c r="E8" s="81">
        <f>ROUND(E5,2)</f>
        <v>3900</v>
      </c>
      <c r="F8" s="81">
        <f>ROUND(F5,2)</f>
        <v>12000</v>
      </c>
      <c r="G8" s="81">
        <f>ROUND(G5,2)</f>
        <v>470</v>
      </c>
      <c r="H8" s="65"/>
      <c r="I8" s="66"/>
      <c r="J8" s="63"/>
      <c r="K8" s="30"/>
      <c r="L8" s="43"/>
      <c r="M8" s="78" t="s">
        <v>118</v>
      </c>
      <c r="N8" s="48"/>
      <c r="O8" s="64"/>
    </row>
    <row r="9" spans="1:16">
      <c r="A9" s="47"/>
      <c r="B9" s="30"/>
      <c r="C9" s="67"/>
      <c r="D9" s="110" t="s">
        <v>90</v>
      </c>
      <c r="E9" s="110"/>
      <c r="F9" s="110"/>
      <c r="G9" s="110"/>
      <c r="H9" s="67"/>
      <c r="I9" s="30"/>
      <c r="J9" s="114" t="s">
        <v>91</v>
      </c>
      <c r="K9" s="114"/>
      <c r="L9" s="114"/>
      <c r="M9" s="114"/>
      <c r="N9" s="48"/>
      <c r="O9" s="64"/>
    </row>
    <row r="10" spans="1:16">
      <c r="A10" s="47"/>
      <c r="B10" s="67"/>
      <c r="C10" s="67"/>
      <c r="D10" s="110"/>
      <c r="E10" s="110"/>
      <c r="F10" s="110"/>
      <c r="G10" s="110"/>
      <c r="H10" s="67"/>
      <c r="I10" s="68"/>
      <c r="J10" s="114"/>
      <c r="K10" s="114"/>
      <c r="L10" s="114"/>
      <c r="M10" s="114"/>
      <c r="N10" s="48"/>
      <c r="O10" s="64"/>
    </row>
    <row r="11" spans="1:16">
      <c r="A11" s="47"/>
      <c r="B11" s="43"/>
      <c r="C11" s="43"/>
      <c r="D11" s="43"/>
      <c r="E11" s="62"/>
      <c r="F11" s="43"/>
      <c r="G11" s="30"/>
      <c r="H11" s="30"/>
      <c r="I11" s="66"/>
      <c r="J11" s="69"/>
      <c r="K11" s="69"/>
      <c r="L11" s="69"/>
      <c r="M11" s="69"/>
      <c r="N11" s="48"/>
      <c r="O11" s="64"/>
    </row>
    <row r="12" spans="1:16">
      <c r="A12" s="47"/>
      <c r="B12" s="107" t="s">
        <v>88</v>
      </c>
      <c r="C12" s="107"/>
      <c r="D12" s="107"/>
      <c r="E12" s="107"/>
      <c r="F12" s="107"/>
      <c r="G12" s="107"/>
      <c r="H12" s="107"/>
      <c r="I12" s="30"/>
      <c r="J12" s="30"/>
      <c r="K12" s="30"/>
      <c r="L12" s="70"/>
      <c r="M12" s="30"/>
      <c r="N12" s="48"/>
    </row>
    <row r="13" spans="1:16">
      <c r="A13" s="47"/>
      <c r="B13" s="43"/>
      <c r="C13" s="43"/>
      <c r="D13" s="43"/>
      <c r="E13" s="43"/>
      <c r="F13" s="43"/>
      <c r="G13" s="43"/>
      <c r="H13" s="43"/>
      <c r="I13" s="30"/>
      <c r="J13" s="30"/>
      <c r="K13" s="30"/>
      <c r="L13" s="70"/>
      <c r="M13" s="30"/>
      <c r="N13" s="48"/>
    </row>
    <row r="14" spans="1:16">
      <c r="A14" s="47"/>
      <c r="B14" s="110" t="s">
        <v>96</v>
      </c>
      <c r="C14" s="110"/>
      <c r="D14" s="110"/>
      <c r="E14" s="111">
        <f>C5*(1+E5/F5)</f>
        <v>3.3058749999999999</v>
      </c>
      <c r="F14" s="111">
        <f>(M5*E5)/1000000</f>
        <v>4.1339999999999997E-3</v>
      </c>
      <c r="G14" s="112">
        <f>ROUND(E14+F14,2)</f>
        <v>3.31</v>
      </c>
      <c r="H14" s="113" t="s">
        <v>74</v>
      </c>
      <c r="I14" s="30"/>
      <c r="J14" s="30"/>
      <c r="K14" s="30"/>
      <c r="L14" s="43"/>
      <c r="M14" s="30"/>
      <c r="N14" s="48"/>
    </row>
    <row r="15" spans="1:16">
      <c r="A15" s="47"/>
      <c r="B15" s="110"/>
      <c r="C15" s="110"/>
      <c r="D15" s="110"/>
      <c r="E15" s="111"/>
      <c r="F15" s="111"/>
      <c r="G15" s="112"/>
      <c r="H15" s="113"/>
      <c r="I15" s="30"/>
      <c r="J15" s="30"/>
      <c r="K15" s="30"/>
      <c r="L15" s="30"/>
      <c r="M15" s="30"/>
      <c r="N15" s="48"/>
    </row>
    <row r="16" spans="1:16">
      <c r="A16" s="47"/>
      <c r="B16" s="107" t="s">
        <v>97</v>
      </c>
      <c r="C16" s="107"/>
      <c r="D16" s="107"/>
      <c r="E16" s="109">
        <f>F14/E14</f>
        <v>1.2505010020040079E-3</v>
      </c>
      <c r="F16" s="109"/>
      <c r="G16" s="107" t="s">
        <v>98</v>
      </c>
      <c r="H16" s="107"/>
      <c r="I16" s="30" t="s">
        <v>138</v>
      </c>
      <c r="J16" s="30"/>
      <c r="K16" s="30"/>
      <c r="L16" s="30"/>
      <c r="M16" s="30"/>
      <c r="N16" s="48"/>
    </row>
    <row r="17" spans="1:14">
      <c r="A17" s="47"/>
      <c r="B17" s="30"/>
      <c r="C17" s="30"/>
      <c r="D17" s="30"/>
      <c r="E17" s="30"/>
      <c r="F17" s="30"/>
      <c r="G17" s="30"/>
      <c r="H17" s="30"/>
      <c r="I17" s="30" t="s">
        <v>141</v>
      </c>
      <c r="J17" s="30"/>
      <c r="K17" s="30"/>
      <c r="L17" s="30"/>
      <c r="M17" s="30"/>
      <c r="N17" s="48"/>
    </row>
    <row r="18" spans="1:14">
      <c r="A18" s="47"/>
      <c r="B18" s="30"/>
      <c r="C18" s="30"/>
      <c r="D18" s="30"/>
      <c r="E18" s="30"/>
      <c r="F18" s="30"/>
      <c r="G18" s="30"/>
      <c r="H18" s="30"/>
      <c r="I18" s="30"/>
      <c r="J18" s="30"/>
      <c r="K18" s="71"/>
      <c r="L18" s="30"/>
      <c r="M18" s="30"/>
      <c r="N18" s="48"/>
    </row>
    <row r="19" spans="1:14">
      <c r="A19" s="47"/>
      <c r="B19" s="30"/>
      <c r="C19" s="30"/>
      <c r="D19" s="30"/>
      <c r="E19" s="30"/>
      <c r="F19" s="30"/>
      <c r="G19" s="30"/>
      <c r="H19" s="30"/>
      <c r="I19" s="30" t="s">
        <v>99</v>
      </c>
      <c r="J19" s="30"/>
      <c r="K19" s="30"/>
      <c r="L19" s="30"/>
      <c r="M19" s="30"/>
      <c r="N19" s="48"/>
    </row>
    <row r="20" spans="1:14">
      <c r="A20" s="47"/>
      <c r="B20" s="30"/>
      <c r="C20" s="30"/>
      <c r="D20" s="30"/>
      <c r="E20" s="30"/>
      <c r="F20" s="30"/>
      <c r="G20" s="30"/>
      <c r="H20" s="30"/>
      <c r="I20" s="30" t="s">
        <v>100</v>
      </c>
      <c r="J20" s="30"/>
      <c r="K20" s="30"/>
      <c r="L20" s="30"/>
      <c r="M20" s="30"/>
      <c r="N20" s="48"/>
    </row>
    <row r="21" spans="1:14">
      <c r="A21" s="47"/>
      <c r="B21" s="30"/>
      <c r="C21" s="30"/>
      <c r="D21" s="30"/>
      <c r="E21" s="30"/>
      <c r="F21" s="30"/>
      <c r="G21" s="30"/>
      <c r="H21" s="30"/>
      <c r="I21" s="30" t="s">
        <v>101</v>
      </c>
      <c r="J21" s="30"/>
      <c r="K21" s="30"/>
      <c r="L21" s="30"/>
      <c r="M21" s="30"/>
      <c r="N21" s="48"/>
    </row>
    <row r="22" spans="1:14">
      <c r="A22" s="47"/>
      <c r="B22" s="30"/>
      <c r="C22" s="30"/>
      <c r="D22" s="30"/>
      <c r="E22" s="30"/>
      <c r="F22" s="30"/>
      <c r="G22" s="30"/>
      <c r="H22" s="30"/>
      <c r="I22" s="30" t="s">
        <v>102</v>
      </c>
      <c r="J22" s="30"/>
      <c r="K22" s="30"/>
      <c r="L22" s="30"/>
      <c r="M22" s="30"/>
      <c r="N22" s="48"/>
    </row>
    <row r="23" spans="1:14">
      <c r="A23" s="47"/>
      <c r="B23" s="30"/>
      <c r="C23" s="30"/>
      <c r="D23" s="30"/>
      <c r="E23" s="30"/>
      <c r="F23" s="30"/>
      <c r="G23" s="76"/>
      <c r="H23" s="76"/>
      <c r="I23" s="30" t="s">
        <v>103</v>
      </c>
      <c r="J23" s="30"/>
      <c r="K23" s="30"/>
      <c r="L23" s="30"/>
      <c r="M23" s="30"/>
      <c r="N23" s="48"/>
    </row>
    <row r="24" spans="1:14">
      <c r="A24" s="47"/>
      <c r="B24" s="30"/>
      <c r="C24" s="30"/>
      <c r="D24" s="44" t="str">
        <f>CONCATENATE(G8,G4)</f>
        <v>470 Ω</v>
      </c>
      <c r="E24" s="30"/>
      <c r="F24" s="30"/>
      <c r="G24" s="106" t="str">
        <f>CONCATENATE("Vout ",G14,H14)</f>
        <v>Vout 3,31 Volt</v>
      </c>
      <c r="H24" s="106"/>
      <c r="I24" s="30" t="s">
        <v>104</v>
      </c>
      <c r="J24" s="30"/>
      <c r="K24" s="30"/>
      <c r="L24" s="30"/>
      <c r="M24" s="30"/>
      <c r="N24" s="48"/>
    </row>
    <row r="25" spans="1:14">
      <c r="A25" s="47"/>
      <c r="B25" s="30"/>
      <c r="C25" s="30"/>
      <c r="D25" s="30"/>
      <c r="E25" s="30"/>
      <c r="F25" s="30"/>
      <c r="G25" s="30"/>
      <c r="H25" s="30"/>
      <c r="I25" s="30" t="s">
        <v>105</v>
      </c>
      <c r="J25" s="30"/>
      <c r="K25" s="30"/>
      <c r="L25" s="30"/>
      <c r="M25" s="30"/>
      <c r="N25" s="48"/>
    </row>
    <row r="26" spans="1:14">
      <c r="A26" s="47"/>
      <c r="B26" s="30"/>
      <c r="C26" s="30"/>
      <c r="D26" s="30"/>
      <c r="E26" s="30"/>
      <c r="F26" s="30"/>
      <c r="G26" s="30"/>
      <c r="H26" s="30"/>
      <c r="I26" s="30" t="s">
        <v>106</v>
      </c>
      <c r="J26" s="30"/>
      <c r="K26" s="30"/>
      <c r="L26" s="30"/>
      <c r="M26" s="30"/>
      <c r="N26" s="48"/>
    </row>
    <row r="27" spans="1:14">
      <c r="A27" s="47"/>
      <c r="B27" s="30"/>
      <c r="C27" s="30"/>
      <c r="D27" s="30"/>
      <c r="E27" s="30"/>
      <c r="F27" s="30"/>
      <c r="G27" s="30"/>
      <c r="H27" s="30"/>
      <c r="I27" s="30" t="s">
        <v>107</v>
      </c>
      <c r="J27" s="30"/>
      <c r="K27" s="30"/>
      <c r="L27" s="30"/>
      <c r="M27" s="30"/>
      <c r="N27" s="48"/>
    </row>
    <row r="28" spans="1:14">
      <c r="A28" s="47"/>
      <c r="B28" s="30"/>
      <c r="C28" s="30"/>
      <c r="D28" s="30"/>
      <c r="E28" s="30"/>
      <c r="F28" s="30"/>
      <c r="G28" s="30"/>
      <c r="H28" s="30"/>
      <c r="I28" s="30" t="s">
        <v>136</v>
      </c>
      <c r="J28" s="30"/>
      <c r="K28" s="30"/>
      <c r="L28" s="30"/>
      <c r="M28" s="30"/>
      <c r="N28" s="48"/>
    </row>
    <row r="29" spans="1:14">
      <c r="A29" s="47"/>
      <c r="B29" s="30"/>
      <c r="C29" s="30"/>
      <c r="D29" s="30"/>
      <c r="E29" s="30"/>
      <c r="F29" s="30"/>
      <c r="G29" s="30"/>
      <c r="H29" s="30"/>
      <c r="I29" s="30" t="s">
        <v>108</v>
      </c>
      <c r="J29" s="30"/>
      <c r="K29" s="30"/>
      <c r="L29" s="30"/>
      <c r="M29" s="30"/>
      <c r="N29" s="48"/>
    </row>
    <row r="30" spans="1:14">
      <c r="A30" s="47"/>
      <c r="B30" s="30"/>
      <c r="C30" s="30"/>
      <c r="D30" s="30"/>
      <c r="E30" s="30"/>
      <c r="F30" s="30"/>
      <c r="G30" s="30"/>
      <c r="H30" s="30"/>
      <c r="I30" s="30" t="s">
        <v>109</v>
      </c>
      <c r="J30" s="30"/>
      <c r="K30" s="30"/>
      <c r="L30" s="30"/>
      <c r="M30" s="30"/>
      <c r="N30" s="48"/>
    </row>
    <row r="31" spans="1:14">
      <c r="A31" s="47"/>
      <c r="B31" s="30"/>
      <c r="C31" s="30"/>
      <c r="D31" s="30"/>
      <c r="E31" s="30"/>
      <c r="F31" s="30"/>
      <c r="G31" s="30"/>
      <c r="H31" s="30"/>
      <c r="I31" s="30" t="s">
        <v>110</v>
      </c>
      <c r="J31" s="30"/>
      <c r="K31" s="30"/>
      <c r="L31" s="30"/>
      <c r="M31" s="30"/>
      <c r="N31" s="48"/>
    </row>
    <row r="32" spans="1:14">
      <c r="A32" s="47"/>
      <c r="B32" s="107" t="str">
        <f>CONCATENATE(D5,D4)</f>
        <v>4,5 volt</v>
      </c>
      <c r="C32" s="10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8"/>
    </row>
    <row r="33" spans="1:14">
      <c r="A33" s="47"/>
      <c r="B33" s="30"/>
      <c r="C33" s="30"/>
      <c r="D33" s="30"/>
      <c r="E33" s="30"/>
      <c r="F33" s="30"/>
      <c r="G33" s="106" t="str">
        <f>CONCATENATE(H3,H5,H4)</f>
        <v>Icathode 2,53 mA</v>
      </c>
      <c r="H33" s="106"/>
      <c r="I33" s="107" t="s">
        <v>111</v>
      </c>
      <c r="J33" s="107"/>
      <c r="K33" s="107"/>
      <c r="L33" s="107"/>
      <c r="M33" s="30"/>
      <c r="N33" s="48"/>
    </row>
    <row r="34" spans="1:14">
      <c r="A34" s="47"/>
      <c r="B34" s="30"/>
      <c r="C34" s="30"/>
      <c r="D34" s="43" t="str">
        <f>CONCATENATE(E8,E4)</f>
        <v>3900 Ω</v>
      </c>
      <c r="E34" s="30"/>
      <c r="F34" s="30"/>
      <c r="G34" s="30"/>
      <c r="H34" s="30"/>
      <c r="I34" s="30"/>
      <c r="J34" s="30"/>
      <c r="K34" s="30"/>
      <c r="L34" s="30"/>
      <c r="M34" s="30"/>
      <c r="N34" s="48"/>
    </row>
    <row r="35" spans="1:14">
      <c r="A35" s="4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8"/>
    </row>
    <row r="36" spans="1:14">
      <c r="A36" s="47"/>
      <c r="B36" s="30"/>
      <c r="C36" s="30"/>
      <c r="D36" s="30"/>
      <c r="E36" s="30"/>
      <c r="F36" s="30"/>
      <c r="G36" s="30"/>
      <c r="H36" s="30"/>
      <c r="I36" s="107" t="s">
        <v>112</v>
      </c>
      <c r="J36" s="107"/>
      <c r="K36" s="107"/>
      <c r="L36" s="107"/>
      <c r="M36" s="30"/>
      <c r="N36" s="48"/>
    </row>
    <row r="37" spans="1:14">
      <c r="A37" s="47"/>
      <c r="B37" s="30"/>
      <c r="C37" s="30" t="str">
        <f>CONCATENATE(C5,C4)</f>
        <v>2,495 volt</v>
      </c>
      <c r="D37" s="30"/>
      <c r="E37" s="43" t="str">
        <f>CONCATENATE(M3,M7,M4)</f>
        <v>Iref 1,06 uA</v>
      </c>
      <c r="F37" s="30"/>
      <c r="G37" s="30"/>
      <c r="H37" s="30"/>
      <c r="I37" s="30"/>
      <c r="J37" s="30"/>
      <c r="K37" s="30"/>
      <c r="L37" s="30"/>
      <c r="M37" s="30"/>
      <c r="N37" s="48"/>
    </row>
    <row r="38" spans="1:14">
      <c r="A38" s="47"/>
      <c r="B38" s="30"/>
      <c r="C38" s="30"/>
      <c r="D38" s="30"/>
      <c r="E38" s="30"/>
      <c r="F38" s="30"/>
      <c r="G38" s="106" t="str">
        <f>+B5</f>
        <v>TL431</v>
      </c>
      <c r="H38" s="106"/>
      <c r="I38" s="30"/>
      <c r="J38" s="30"/>
      <c r="K38" s="30"/>
      <c r="L38" s="30"/>
      <c r="M38" s="30"/>
      <c r="N38" s="48"/>
    </row>
    <row r="39" spans="1:14">
      <c r="A39" s="4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8"/>
    </row>
    <row r="40" spans="1:14">
      <c r="A40" s="4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8"/>
    </row>
    <row r="41" spans="1:14">
      <c r="A41" s="4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48"/>
    </row>
    <row r="42" spans="1:14">
      <c r="A42" s="4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48"/>
    </row>
    <row r="43" spans="1:14">
      <c r="A43" s="47"/>
      <c r="B43" s="30"/>
      <c r="C43" s="30"/>
      <c r="D43" s="43" t="str">
        <f>CONCATENATE(F8,F4)</f>
        <v>12000 Ω</v>
      </c>
      <c r="E43" s="30"/>
      <c r="F43" s="30"/>
      <c r="G43" s="30"/>
      <c r="H43" s="30"/>
      <c r="I43" s="30"/>
      <c r="J43" s="30"/>
      <c r="K43" s="30"/>
      <c r="L43" s="30"/>
      <c r="M43" s="30"/>
      <c r="N43" s="48"/>
    </row>
    <row r="44" spans="1:14">
      <c r="A44" s="47"/>
      <c r="B44" s="30"/>
      <c r="C44" s="30"/>
      <c r="D44" s="30"/>
      <c r="E44" s="30"/>
      <c r="F44" s="30"/>
      <c r="G44" s="30"/>
      <c r="H44" s="30"/>
      <c r="I44" s="101" t="s">
        <v>27</v>
      </c>
      <c r="J44" s="101"/>
      <c r="K44" s="101"/>
      <c r="L44" s="101"/>
      <c r="M44" s="101"/>
      <c r="N44" s="48"/>
    </row>
    <row r="45" spans="1:14">
      <c r="A45" s="47"/>
      <c r="B45" s="30"/>
      <c r="C45" s="30"/>
      <c r="D45" s="30"/>
      <c r="E45" s="30"/>
      <c r="F45" s="30"/>
      <c r="G45" s="30"/>
      <c r="H45" s="30"/>
      <c r="I45" s="115"/>
      <c r="J45" s="115"/>
      <c r="K45" s="115"/>
      <c r="L45" s="115"/>
      <c r="M45" s="115"/>
      <c r="N45" s="48"/>
    </row>
    <row r="46" spans="1:14">
      <c r="A46" s="47"/>
      <c r="B46" s="30"/>
      <c r="C46" s="30"/>
      <c r="D46" s="30"/>
      <c r="E46" s="30"/>
      <c r="F46" s="30"/>
      <c r="G46" s="30"/>
      <c r="H46" s="30"/>
      <c r="I46" s="98" t="s">
        <v>28</v>
      </c>
      <c r="J46" s="98"/>
      <c r="K46" s="98"/>
      <c r="L46" s="98"/>
      <c r="M46" s="98"/>
      <c r="N46" s="48"/>
    </row>
    <row r="47" spans="1:14">
      <c r="A47" s="47"/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32"/>
      <c r="N47" s="48"/>
    </row>
    <row r="48" spans="1:14" ht="18.75">
      <c r="A48" s="47"/>
      <c r="B48" s="30"/>
      <c r="C48" s="30"/>
      <c r="D48" s="30"/>
      <c r="E48" s="30"/>
      <c r="F48" s="30"/>
      <c r="G48" s="30"/>
      <c r="H48" s="30"/>
      <c r="I48" s="95" t="s">
        <v>29</v>
      </c>
      <c r="J48" s="95"/>
      <c r="K48" s="95"/>
      <c r="L48" s="95"/>
      <c r="M48" s="95"/>
      <c r="N48" s="48"/>
    </row>
    <row r="49" spans="1:14">
      <c r="A49" s="4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48"/>
    </row>
    <row r="50" spans="1:14" ht="16.5" thickBot="1">
      <c r="A50" s="72"/>
      <c r="B50" s="73" t="s">
        <v>26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104" t="s">
        <v>50</v>
      </c>
      <c r="N50" s="105"/>
    </row>
  </sheetData>
  <mergeCells count="22">
    <mergeCell ref="B1:N1"/>
    <mergeCell ref="E16:F16"/>
    <mergeCell ref="B16:D16"/>
    <mergeCell ref="G16:H16"/>
    <mergeCell ref="B14:D15"/>
    <mergeCell ref="E14:E15"/>
    <mergeCell ref="F14:F15"/>
    <mergeCell ref="G14:G15"/>
    <mergeCell ref="H14:H15"/>
    <mergeCell ref="B12:H12"/>
    <mergeCell ref="J9:M10"/>
    <mergeCell ref="D9:G10"/>
    <mergeCell ref="M50:N50"/>
    <mergeCell ref="G38:H38"/>
    <mergeCell ref="B32:C32"/>
    <mergeCell ref="G24:H24"/>
    <mergeCell ref="G33:H33"/>
    <mergeCell ref="I33:L33"/>
    <mergeCell ref="I36:L36"/>
    <mergeCell ref="I44:M44"/>
    <mergeCell ref="I46:M46"/>
    <mergeCell ref="I48:M48"/>
  </mergeCells>
  <hyperlinks>
    <hyperlink ref="I46" r:id="rId1"/>
  </hyperlinks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N50"/>
  <sheetViews>
    <sheetView workbookViewId="0"/>
  </sheetViews>
  <sheetFormatPr defaultRowHeight="15"/>
  <cols>
    <col min="1" max="1" width="2.7109375" customWidth="1"/>
    <col min="2" max="7" width="13.7109375" customWidth="1"/>
    <col min="8" max="8" width="16.7109375" customWidth="1"/>
    <col min="9" max="12" width="13.7109375" customWidth="1"/>
    <col min="13" max="13" width="16.28515625" customWidth="1"/>
    <col min="14" max="14" width="10.42578125" customWidth="1"/>
  </cols>
  <sheetData>
    <row r="1" spans="1:14" ht="15.75">
      <c r="A1" s="45"/>
      <c r="B1" s="84" t="s">
        <v>114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08"/>
    </row>
    <row r="2" spans="1:14" ht="16.5" thickBot="1">
      <c r="A2" s="47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8"/>
    </row>
    <row r="3" spans="1:14" ht="15.75">
      <c r="A3" s="47"/>
      <c r="B3" s="49" t="s">
        <v>78</v>
      </c>
      <c r="C3" s="50" t="s">
        <v>89</v>
      </c>
      <c r="D3" s="50" t="s">
        <v>79</v>
      </c>
      <c r="E3" s="50" t="s">
        <v>80</v>
      </c>
      <c r="F3" s="50" t="s">
        <v>81</v>
      </c>
      <c r="G3" s="50" t="s">
        <v>82</v>
      </c>
      <c r="H3" s="50" t="s">
        <v>95</v>
      </c>
      <c r="I3" s="50" t="s">
        <v>84</v>
      </c>
      <c r="J3" s="50" t="s">
        <v>85</v>
      </c>
      <c r="K3" s="50" t="s">
        <v>86</v>
      </c>
      <c r="L3" s="50" t="s">
        <v>87</v>
      </c>
      <c r="M3" s="75" t="s">
        <v>113</v>
      </c>
      <c r="N3" s="48"/>
    </row>
    <row r="4" spans="1:14" ht="15.75">
      <c r="A4" s="47"/>
      <c r="B4" s="51" t="s">
        <v>93</v>
      </c>
      <c r="C4" s="52" t="s">
        <v>92</v>
      </c>
      <c r="D4" s="52" t="s">
        <v>92</v>
      </c>
      <c r="E4" s="53" t="s">
        <v>73</v>
      </c>
      <c r="F4" s="53" t="s">
        <v>73</v>
      </c>
      <c r="G4" s="53" t="s">
        <v>73</v>
      </c>
      <c r="H4" s="53" t="s">
        <v>75</v>
      </c>
      <c r="I4" s="53" t="s">
        <v>92</v>
      </c>
      <c r="J4" s="53" t="s">
        <v>92</v>
      </c>
      <c r="K4" s="53" t="s">
        <v>94</v>
      </c>
      <c r="L4" s="53" t="s">
        <v>94</v>
      </c>
      <c r="M4" s="54" t="s">
        <v>94</v>
      </c>
      <c r="N4" s="48"/>
    </row>
    <row r="5" spans="1:14" ht="16.5" thickBot="1">
      <c r="A5" s="47"/>
      <c r="B5" s="55" t="s">
        <v>83</v>
      </c>
      <c r="C5" s="56">
        <v>2.4950000000000001</v>
      </c>
      <c r="D5" s="57">
        <v>4.5</v>
      </c>
      <c r="E5" s="57">
        <v>3900</v>
      </c>
      <c r="F5" s="57">
        <v>12000</v>
      </c>
      <c r="G5" s="57">
        <v>470</v>
      </c>
      <c r="H5" s="58">
        <f>ROUND(((D5-G14)/G5)*1000,2)</f>
        <v>2.5299999999999998</v>
      </c>
      <c r="I5" s="59">
        <f>G14-C5</f>
        <v>0.81499999999999995</v>
      </c>
      <c r="J5" s="60">
        <f>+C5</f>
        <v>2.4950000000000001</v>
      </c>
      <c r="K5" s="59">
        <f>(I5/E5)*10^6</f>
        <v>208.97435897435895</v>
      </c>
      <c r="L5" s="59">
        <f>(J5/F5)*10^6</f>
        <v>207.91666666666669</v>
      </c>
      <c r="M5" s="82">
        <v>1.06</v>
      </c>
      <c r="N5" s="48"/>
    </row>
    <row r="6" spans="1:14" ht="15.75">
      <c r="A6" s="47"/>
      <c r="B6" s="43"/>
      <c r="C6" s="43"/>
      <c r="D6" s="61" t="str">
        <f>IF(D5&lt;E6,"Vin to small",IF(D5&lt;E7,"Vin is OK",IF(D5&gt;E7,"Vin to big")))</f>
        <v>Vin is OK</v>
      </c>
      <c r="E6" s="77">
        <v>2.5</v>
      </c>
      <c r="F6" s="43"/>
      <c r="G6" s="30"/>
      <c r="H6" s="61" t="str">
        <f>IF(H5&lt;I6,"Icathode to small",IF(H5&lt;I7,"Icathode is OK",IF(H5&gt;I7,"Icathode to big")))</f>
        <v>Icathode is OK</v>
      </c>
      <c r="I6" s="79">
        <v>1</v>
      </c>
      <c r="J6" s="63"/>
      <c r="K6" s="30"/>
      <c r="L6" s="43"/>
      <c r="M6" s="61" t="str">
        <f>IF(M5&lt;N6,"Iref to small",IF(M5&lt;=N7,"Iref is OK",IF(M5&gt;N7,"Iref to big")))</f>
        <v>Iref is OK</v>
      </c>
      <c r="N6" s="80">
        <v>1</v>
      </c>
    </row>
    <row r="7" spans="1:14" ht="15.75">
      <c r="A7" s="47"/>
      <c r="B7" s="43"/>
      <c r="C7" s="43"/>
      <c r="D7" s="78" t="s">
        <v>116</v>
      </c>
      <c r="E7" s="77">
        <v>36</v>
      </c>
      <c r="F7" s="43"/>
      <c r="G7" s="30"/>
      <c r="H7" s="78" t="s">
        <v>117</v>
      </c>
      <c r="I7" s="79">
        <v>100</v>
      </c>
      <c r="J7" s="63"/>
      <c r="K7" s="30"/>
      <c r="L7" s="43"/>
      <c r="M7" s="83">
        <f>ROUND(K5-L5,2)</f>
        <v>1.06</v>
      </c>
      <c r="N7" s="80">
        <v>4</v>
      </c>
    </row>
    <row r="8" spans="1:14" ht="15.75">
      <c r="A8" s="47"/>
      <c r="B8" s="43"/>
      <c r="C8" s="43"/>
      <c r="D8" s="62"/>
      <c r="E8" s="81">
        <f>ROUND(E5,2)</f>
        <v>3900</v>
      </c>
      <c r="F8" s="81">
        <f>ROUND(F5,2)</f>
        <v>12000</v>
      </c>
      <c r="G8" s="81">
        <f>ROUND(G5,2)</f>
        <v>470</v>
      </c>
      <c r="H8" s="65"/>
      <c r="I8" s="66"/>
      <c r="J8" s="63"/>
      <c r="K8" s="30"/>
      <c r="L8" s="43"/>
      <c r="M8" s="78" t="s">
        <v>118</v>
      </c>
      <c r="N8" s="48"/>
    </row>
    <row r="9" spans="1:14" ht="15.75">
      <c r="A9" s="47"/>
      <c r="B9" s="30"/>
      <c r="C9" s="67"/>
      <c r="D9" s="110" t="s">
        <v>90</v>
      </c>
      <c r="E9" s="110"/>
      <c r="F9" s="110"/>
      <c r="G9" s="110"/>
      <c r="H9" s="67"/>
      <c r="I9" s="30"/>
      <c r="J9" s="114" t="s">
        <v>91</v>
      </c>
      <c r="K9" s="114"/>
      <c r="L9" s="114"/>
      <c r="M9" s="114"/>
      <c r="N9" s="48"/>
    </row>
    <row r="10" spans="1:14" ht="15.75">
      <c r="A10" s="47"/>
      <c r="B10" s="67"/>
      <c r="C10" s="67"/>
      <c r="D10" s="110"/>
      <c r="E10" s="110"/>
      <c r="F10" s="110"/>
      <c r="G10" s="110"/>
      <c r="H10" s="67"/>
      <c r="I10" s="68"/>
      <c r="J10" s="114"/>
      <c r="K10" s="114"/>
      <c r="L10" s="114"/>
      <c r="M10" s="114"/>
      <c r="N10" s="48"/>
    </row>
    <row r="11" spans="1:14" ht="15.75">
      <c r="A11" s="47"/>
      <c r="B11" s="43"/>
      <c r="C11" s="43"/>
      <c r="D11" s="43"/>
      <c r="E11" s="62"/>
      <c r="F11" s="43"/>
      <c r="G11" s="30"/>
      <c r="H11" s="30"/>
      <c r="I11" s="66"/>
      <c r="J11" s="69"/>
      <c r="K11" s="69"/>
      <c r="L11" s="69"/>
      <c r="M11" s="69"/>
      <c r="N11" s="48"/>
    </row>
    <row r="12" spans="1:14" ht="15.75">
      <c r="A12" s="47"/>
      <c r="B12" s="107" t="s">
        <v>119</v>
      </c>
      <c r="C12" s="107"/>
      <c r="D12" s="107"/>
      <c r="E12" s="107"/>
      <c r="F12" s="107"/>
      <c r="G12" s="107"/>
      <c r="H12" s="107"/>
      <c r="I12" s="30"/>
      <c r="J12" s="30"/>
      <c r="K12" s="30"/>
      <c r="L12" s="70"/>
      <c r="M12" s="30"/>
      <c r="N12" s="48"/>
    </row>
    <row r="13" spans="1:14" ht="15.75">
      <c r="A13" s="47"/>
      <c r="B13" s="43"/>
      <c r="C13" s="43"/>
      <c r="D13" s="43"/>
      <c r="E13" s="43"/>
      <c r="F13" s="43"/>
      <c r="G13" s="43"/>
      <c r="H13" s="43"/>
      <c r="I13" s="30"/>
      <c r="J13" s="30"/>
      <c r="K13" s="30"/>
      <c r="L13" s="70"/>
      <c r="M13" s="30"/>
      <c r="N13" s="48"/>
    </row>
    <row r="14" spans="1:14" ht="15.75">
      <c r="A14" s="47"/>
      <c r="B14" s="110" t="s">
        <v>96</v>
      </c>
      <c r="C14" s="110"/>
      <c r="D14" s="110"/>
      <c r="E14" s="111">
        <f>C5*(1+E5/F5)</f>
        <v>3.3058749999999999</v>
      </c>
      <c r="F14" s="111">
        <f>(M5*E5)/1000000</f>
        <v>4.1339999999999997E-3</v>
      </c>
      <c r="G14" s="112">
        <f>ROUND(E14+F14,2)</f>
        <v>3.31</v>
      </c>
      <c r="H14" s="113" t="s">
        <v>74</v>
      </c>
      <c r="I14" s="30"/>
      <c r="J14" s="30"/>
      <c r="K14" s="30"/>
      <c r="L14" s="43"/>
      <c r="M14" s="30"/>
      <c r="N14" s="48"/>
    </row>
    <row r="15" spans="1:14" ht="15.75">
      <c r="A15" s="47"/>
      <c r="B15" s="110"/>
      <c r="C15" s="110"/>
      <c r="D15" s="110"/>
      <c r="E15" s="111"/>
      <c r="F15" s="111"/>
      <c r="G15" s="112"/>
      <c r="H15" s="113"/>
      <c r="I15" s="30"/>
      <c r="J15" s="30"/>
      <c r="K15" s="30"/>
      <c r="L15" s="30"/>
      <c r="M15" s="30"/>
      <c r="N15" s="48"/>
    </row>
    <row r="16" spans="1:14" ht="15.75">
      <c r="A16" s="47"/>
      <c r="B16" s="107" t="s">
        <v>120</v>
      </c>
      <c r="C16" s="107"/>
      <c r="D16" s="107"/>
      <c r="E16" s="109">
        <f>F14/E14</f>
        <v>1.2505010020040079E-3</v>
      </c>
      <c r="F16" s="109"/>
      <c r="G16" s="107" t="s">
        <v>121</v>
      </c>
      <c r="H16" s="107"/>
      <c r="I16" s="30" t="s">
        <v>139</v>
      </c>
      <c r="J16" s="30"/>
      <c r="K16" s="30"/>
      <c r="L16" s="30"/>
      <c r="M16" s="30"/>
      <c r="N16" s="48"/>
    </row>
    <row r="17" spans="1:14" ht="15.75">
      <c r="A17" s="47"/>
      <c r="B17" s="30"/>
      <c r="C17" s="30"/>
      <c r="D17" s="30"/>
      <c r="E17" s="30"/>
      <c r="F17" s="30"/>
      <c r="G17" s="30"/>
      <c r="H17" s="30"/>
      <c r="I17" s="30" t="s">
        <v>140</v>
      </c>
      <c r="J17" s="30"/>
      <c r="K17" s="30"/>
      <c r="L17" s="30"/>
      <c r="M17" s="30"/>
      <c r="N17" s="48"/>
    </row>
    <row r="18" spans="1:14" ht="15.75">
      <c r="A18" s="47"/>
      <c r="B18" s="30"/>
      <c r="C18" s="30"/>
      <c r="D18" s="30"/>
      <c r="E18" s="30"/>
      <c r="F18" s="30"/>
      <c r="G18" s="30"/>
      <c r="H18" s="30"/>
      <c r="I18" s="30"/>
      <c r="J18" s="30"/>
      <c r="K18" s="71"/>
      <c r="L18" s="30"/>
      <c r="M18" s="30"/>
      <c r="N18" s="48"/>
    </row>
    <row r="19" spans="1:14" ht="15.75">
      <c r="A19" s="47"/>
      <c r="B19" s="30"/>
      <c r="C19" s="30"/>
      <c r="D19" s="30"/>
      <c r="E19" s="30"/>
      <c r="F19" s="30"/>
      <c r="G19" s="30"/>
      <c r="H19" s="30"/>
      <c r="I19" s="30" t="s">
        <v>122</v>
      </c>
      <c r="J19" s="30"/>
      <c r="K19" s="30"/>
      <c r="L19" s="30"/>
      <c r="M19" s="30"/>
      <c r="N19" s="48"/>
    </row>
    <row r="20" spans="1:14" ht="15.75">
      <c r="A20" s="47"/>
      <c r="B20" s="30"/>
      <c r="C20" s="30"/>
      <c r="D20" s="30"/>
      <c r="E20" s="30"/>
      <c r="F20" s="30"/>
      <c r="G20" s="30"/>
      <c r="H20" s="30"/>
      <c r="I20" s="30" t="s">
        <v>123</v>
      </c>
      <c r="J20" s="30"/>
      <c r="K20" s="30"/>
      <c r="L20" s="30"/>
      <c r="M20" s="30"/>
      <c r="N20" s="48"/>
    </row>
    <row r="21" spans="1:14" ht="15.75">
      <c r="A21" s="47"/>
      <c r="B21" s="30"/>
      <c r="C21" s="30"/>
      <c r="D21" s="30"/>
      <c r="E21" s="30"/>
      <c r="F21" s="30"/>
      <c r="G21" s="30"/>
      <c r="H21" s="30"/>
      <c r="I21" s="30" t="s">
        <v>124</v>
      </c>
      <c r="J21" s="30"/>
      <c r="K21" s="30"/>
      <c r="L21" s="30"/>
      <c r="M21" s="30"/>
      <c r="N21" s="48"/>
    </row>
    <row r="22" spans="1:14" ht="15.75">
      <c r="A22" s="47"/>
      <c r="B22" s="30"/>
      <c r="C22" s="30"/>
      <c r="D22" s="30"/>
      <c r="E22" s="30"/>
      <c r="F22" s="30"/>
      <c r="G22" s="30"/>
      <c r="H22" s="30"/>
      <c r="I22" s="30" t="s">
        <v>125</v>
      </c>
      <c r="J22" s="30"/>
      <c r="K22" s="30"/>
      <c r="L22" s="30"/>
      <c r="M22" s="30"/>
      <c r="N22" s="48"/>
    </row>
    <row r="23" spans="1:14" ht="15.75">
      <c r="A23" s="47"/>
      <c r="B23" s="30"/>
      <c r="C23" s="30"/>
      <c r="D23" s="30"/>
      <c r="E23" s="30"/>
      <c r="F23" s="30"/>
      <c r="G23" s="76"/>
      <c r="H23" s="76"/>
      <c r="I23" s="30" t="s">
        <v>126</v>
      </c>
      <c r="J23" s="30"/>
      <c r="K23" s="30"/>
      <c r="L23" s="30"/>
      <c r="M23" s="30"/>
      <c r="N23" s="48"/>
    </row>
    <row r="24" spans="1:14" ht="15.75">
      <c r="A24" s="47"/>
      <c r="B24" s="30"/>
      <c r="C24" s="30"/>
      <c r="D24" s="44" t="str">
        <f>CONCATENATE(G8,G4)</f>
        <v>470 Ω</v>
      </c>
      <c r="E24" s="30"/>
      <c r="F24" s="30"/>
      <c r="G24" s="106" t="str">
        <f>CONCATENATE("Vout ",G14,H14)</f>
        <v>Vout 3,31 Volt</v>
      </c>
      <c r="H24" s="106"/>
      <c r="I24" s="30" t="s">
        <v>127</v>
      </c>
      <c r="J24" s="30"/>
      <c r="K24" s="30"/>
      <c r="L24" s="30"/>
      <c r="M24" s="30"/>
      <c r="N24" s="48"/>
    </row>
    <row r="25" spans="1:14" ht="15.75">
      <c r="A25" s="47"/>
      <c r="B25" s="30"/>
      <c r="C25" s="30"/>
      <c r="D25" s="30"/>
      <c r="E25" s="30"/>
      <c r="F25" s="30"/>
      <c r="G25" s="30"/>
      <c r="H25" s="30"/>
      <c r="I25" s="30" t="s">
        <v>128</v>
      </c>
      <c r="J25" s="30"/>
      <c r="K25" s="30"/>
      <c r="L25" s="30"/>
      <c r="M25" s="30"/>
      <c r="N25" s="48"/>
    </row>
    <row r="26" spans="1:14" ht="15.75">
      <c r="A26" s="47"/>
      <c r="B26" s="30"/>
      <c r="C26" s="30"/>
      <c r="D26" s="30"/>
      <c r="E26" s="30"/>
      <c r="F26" s="30"/>
      <c r="G26" s="30"/>
      <c r="H26" s="30"/>
      <c r="I26" s="30" t="s">
        <v>129</v>
      </c>
      <c r="J26" s="30"/>
      <c r="K26" s="30"/>
      <c r="L26" s="30"/>
      <c r="M26" s="30"/>
      <c r="N26" s="48"/>
    </row>
    <row r="27" spans="1:14" ht="15.75">
      <c r="A27" s="47"/>
      <c r="B27" s="30"/>
      <c r="C27" s="30"/>
      <c r="D27" s="30"/>
      <c r="E27" s="30"/>
      <c r="F27" s="30"/>
      <c r="G27" s="30"/>
      <c r="H27" s="30"/>
      <c r="I27" s="30" t="s">
        <v>130</v>
      </c>
      <c r="J27" s="30"/>
      <c r="K27" s="30"/>
      <c r="L27" s="30"/>
      <c r="M27" s="30"/>
      <c r="N27" s="48"/>
    </row>
    <row r="28" spans="1:14" ht="15.75">
      <c r="A28" s="47"/>
      <c r="B28" s="30"/>
      <c r="C28" s="30"/>
      <c r="D28" s="30"/>
      <c r="E28" s="30"/>
      <c r="F28" s="30"/>
      <c r="G28" s="30"/>
      <c r="H28" s="30"/>
      <c r="I28" s="30" t="s">
        <v>137</v>
      </c>
      <c r="J28" s="30"/>
      <c r="K28" s="30"/>
      <c r="L28" s="30"/>
      <c r="M28" s="30"/>
      <c r="N28" s="48"/>
    </row>
    <row r="29" spans="1:14" ht="15.75">
      <c r="A29" s="47"/>
      <c r="B29" s="30"/>
      <c r="C29" s="30"/>
      <c r="D29" s="30"/>
      <c r="E29" s="30"/>
      <c r="F29" s="30"/>
      <c r="G29" s="30"/>
      <c r="H29" s="30"/>
      <c r="I29" s="30" t="s">
        <v>131</v>
      </c>
      <c r="J29" s="30"/>
      <c r="K29" s="30"/>
      <c r="L29" s="30"/>
      <c r="M29" s="30"/>
      <c r="N29" s="48"/>
    </row>
    <row r="30" spans="1:14" ht="15.75">
      <c r="A30" s="47"/>
      <c r="B30" s="30"/>
      <c r="C30" s="30"/>
      <c r="D30" s="30"/>
      <c r="E30" s="30"/>
      <c r="F30" s="30"/>
      <c r="G30" s="30"/>
      <c r="H30" s="30"/>
      <c r="I30" s="30" t="s">
        <v>132</v>
      </c>
      <c r="J30" s="30"/>
      <c r="K30" s="30"/>
      <c r="L30" s="30"/>
      <c r="M30" s="30"/>
      <c r="N30" s="48"/>
    </row>
    <row r="31" spans="1:14" ht="15.75">
      <c r="A31" s="47"/>
      <c r="B31" s="30"/>
      <c r="C31" s="30"/>
      <c r="D31" s="30"/>
      <c r="E31" s="30"/>
      <c r="F31" s="30"/>
      <c r="G31" s="30"/>
      <c r="H31" s="30"/>
      <c r="I31" s="30" t="s">
        <v>133</v>
      </c>
      <c r="J31" s="30"/>
      <c r="K31" s="30"/>
      <c r="L31" s="30"/>
      <c r="M31" s="30"/>
      <c r="N31" s="48"/>
    </row>
    <row r="32" spans="1:14" ht="15.75">
      <c r="A32" s="47"/>
      <c r="B32" s="107" t="str">
        <f>CONCATENATE(D5,D4)</f>
        <v>4,5 volt</v>
      </c>
      <c r="C32" s="10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8"/>
    </row>
    <row r="33" spans="1:14" ht="15.75">
      <c r="A33" s="47"/>
      <c r="B33" s="30"/>
      <c r="C33" s="30"/>
      <c r="D33" s="30"/>
      <c r="E33" s="30"/>
      <c r="F33" s="30"/>
      <c r="G33" s="106" t="str">
        <f>CONCATENATE(H3,H5,H4)</f>
        <v>Icathode 2,53 mA</v>
      </c>
      <c r="H33" s="106"/>
      <c r="I33" s="107" t="s">
        <v>134</v>
      </c>
      <c r="J33" s="107"/>
      <c r="K33" s="107"/>
      <c r="L33" s="107"/>
      <c r="M33" s="30"/>
      <c r="N33" s="48"/>
    </row>
    <row r="34" spans="1:14" ht="15.75">
      <c r="A34" s="47"/>
      <c r="B34" s="30"/>
      <c r="C34" s="30"/>
      <c r="D34" s="43" t="str">
        <f>CONCATENATE(E8,E4)</f>
        <v>3900 Ω</v>
      </c>
      <c r="E34" s="30"/>
      <c r="F34" s="30"/>
      <c r="G34" s="30"/>
      <c r="H34" s="30"/>
      <c r="I34" s="30"/>
      <c r="J34" s="30"/>
      <c r="K34" s="30"/>
      <c r="L34" s="30"/>
      <c r="M34" s="30"/>
      <c r="N34" s="48"/>
    </row>
    <row r="35" spans="1:14" ht="15.75">
      <c r="A35" s="4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8"/>
    </row>
    <row r="36" spans="1:14" ht="15.75">
      <c r="A36" s="47"/>
      <c r="B36" s="30"/>
      <c r="C36" s="30"/>
      <c r="D36" s="30"/>
      <c r="E36" s="30"/>
      <c r="F36" s="30"/>
      <c r="G36" s="30"/>
      <c r="H36" s="30"/>
      <c r="I36" s="107" t="s">
        <v>135</v>
      </c>
      <c r="J36" s="107"/>
      <c r="K36" s="107"/>
      <c r="L36" s="107"/>
      <c r="M36" s="30"/>
      <c r="N36" s="48"/>
    </row>
    <row r="37" spans="1:14" ht="15.75">
      <c r="A37" s="47"/>
      <c r="B37" s="30"/>
      <c r="C37" s="30" t="str">
        <f>CONCATENATE(C5,C4)</f>
        <v>2,495 volt</v>
      </c>
      <c r="D37" s="30"/>
      <c r="E37" s="43" t="str">
        <f>CONCATENATE(M3,M7,M4)</f>
        <v>Iref 1,06 uA</v>
      </c>
      <c r="F37" s="30"/>
      <c r="G37" s="30"/>
      <c r="H37" s="30"/>
      <c r="I37" s="30"/>
      <c r="J37" s="30"/>
      <c r="K37" s="30"/>
      <c r="L37" s="30"/>
      <c r="M37" s="30"/>
      <c r="N37" s="48"/>
    </row>
    <row r="38" spans="1:14" ht="15.75">
      <c r="A38" s="47"/>
      <c r="B38" s="30"/>
      <c r="C38" s="30"/>
      <c r="D38" s="30"/>
      <c r="E38" s="30"/>
      <c r="F38" s="30"/>
      <c r="G38" s="106" t="str">
        <f>+B5</f>
        <v>TL431</v>
      </c>
      <c r="H38" s="106"/>
      <c r="I38" s="30"/>
      <c r="J38" s="30"/>
      <c r="K38" s="30"/>
      <c r="L38" s="30"/>
      <c r="M38" s="30"/>
      <c r="N38" s="48"/>
    </row>
    <row r="39" spans="1:14" ht="15.75">
      <c r="A39" s="4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8"/>
    </row>
    <row r="40" spans="1:14" ht="15.75">
      <c r="A40" s="4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8"/>
    </row>
    <row r="41" spans="1:14" ht="15.75">
      <c r="A41" s="4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48"/>
    </row>
    <row r="42" spans="1:14" ht="15.75">
      <c r="A42" s="4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48"/>
    </row>
    <row r="43" spans="1:14" ht="15.75">
      <c r="A43" s="47"/>
      <c r="B43" s="30"/>
      <c r="C43" s="30"/>
      <c r="D43" s="43" t="str">
        <f>CONCATENATE(F8,F4)</f>
        <v>12000 Ω</v>
      </c>
      <c r="E43" s="30"/>
      <c r="F43" s="30"/>
      <c r="G43" s="30"/>
      <c r="H43" s="30"/>
      <c r="I43" s="30"/>
      <c r="J43" s="30"/>
      <c r="K43" s="30"/>
      <c r="L43" s="30"/>
      <c r="M43" s="30"/>
      <c r="N43" s="48"/>
    </row>
    <row r="44" spans="1:14" ht="15.75">
      <c r="A44" s="47"/>
      <c r="B44" s="30"/>
      <c r="C44" s="30"/>
      <c r="D44" s="30"/>
      <c r="E44" s="30"/>
      <c r="F44" s="30"/>
      <c r="G44" s="30"/>
      <c r="H44" s="30"/>
      <c r="I44" s="101" t="s">
        <v>27</v>
      </c>
      <c r="J44" s="101"/>
      <c r="K44" s="101"/>
      <c r="L44" s="101"/>
      <c r="M44" s="101"/>
      <c r="N44" s="48"/>
    </row>
    <row r="45" spans="1:14" ht="15.75">
      <c r="A45" s="47"/>
      <c r="B45" s="30"/>
      <c r="C45" s="30"/>
      <c r="D45" s="30"/>
      <c r="E45" s="30"/>
      <c r="F45" s="30"/>
      <c r="G45" s="30"/>
      <c r="H45" s="30"/>
      <c r="I45" s="115"/>
      <c r="J45" s="115"/>
      <c r="K45" s="115"/>
      <c r="L45" s="115"/>
      <c r="M45" s="115"/>
      <c r="N45" s="48"/>
    </row>
    <row r="46" spans="1:14" ht="15.75">
      <c r="A46" s="47"/>
      <c r="B46" s="30"/>
      <c r="C46" s="30"/>
      <c r="D46" s="30"/>
      <c r="E46" s="30"/>
      <c r="F46" s="30"/>
      <c r="G46" s="30"/>
      <c r="H46" s="30"/>
      <c r="I46" s="98" t="s">
        <v>28</v>
      </c>
      <c r="J46" s="98"/>
      <c r="K46" s="98"/>
      <c r="L46" s="98"/>
      <c r="M46" s="98"/>
      <c r="N46" s="48"/>
    </row>
    <row r="47" spans="1:14" ht="15.75">
      <c r="A47" s="47"/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32"/>
      <c r="N47" s="48"/>
    </row>
    <row r="48" spans="1:14" ht="18.75">
      <c r="A48" s="47"/>
      <c r="B48" s="30"/>
      <c r="C48" s="30"/>
      <c r="D48" s="30"/>
      <c r="E48" s="30"/>
      <c r="F48" s="30"/>
      <c r="G48" s="30"/>
      <c r="H48" s="30"/>
      <c r="I48" s="95" t="s">
        <v>29</v>
      </c>
      <c r="J48" s="95"/>
      <c r="K48" s="95"/>
      <c r="L48" s="95"/>
      <c r="M48" s="95"/>
      <c r="N48" s="48"/>
    </row>
    <row r="49" spans="1:14" ht="15.75">
      <c r="A49" s="4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48"/>
    </row>
    <row r="50" spans="1:14" ht="16.5" thickBot="1">
      <c r="A50" s="72"/>
      <c r="B50" s="73" t="s">
        <v>26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104" t="s">
        <v>50</v>
      </c>
      <c r="N50" s="105"/>
    </row>
  </sheetData>
  <mergeCells count="22">
    <mergeCell ref="I33:L33"/>
    <mergeCell ref="I36:L36"/>
    <mergeCell ref="G38:H38"/>
    <mergeCell ref="M50:N50"/>
    <mergeCell ref="I44:M44"/>
    <mergeCell ref="I46:M46"/>
    <mergeCell ref="I48:M48"/>
    <mergeCell ref="G33:H33"/>
    <mergeCell ref="B16:D16"/>
    <mergeCell ref="E16:F16"/>
    <mergeCell ref="G16:H16"/>
    <mergeCell ref="G24:H24"/>
    <mergeCell ref="B32:C32"/>
    <mergeCell ref="B1:N1"/>
    <mergeCell ref="D9:G10"/>
    <mergeCell ref="J9:M10"/>
    <mergeCell ref="B12:H12"/>
    <mergeCell ref="B14:D15"/>
    <mergeCell ref="E14:E15"/>
    <mergeCell ref="F14:F15"/>
    <mergeCell ref="G14:G15"/>
    <mergeCell ref="H14:H15"/>
  </mergeCells>
  <hyperlinks>
    <hyperlink ref="I46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Zener DK</vt:lpstr>
      <vt:lpstr>Zener UK</vt:lpstr>
      <vt:lpstr>TL431 DK</vt:lpstr>
      <vt:lpstr>TL431 UK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2014-08-14T08:23:23Z</cp:lastPrinted>
  <dcterms:created xsi:type="dcterms:W3CDTF">2014-08-13T05:38:01Z</dcterms:created>
  <dcterms:modified xsi:type="dcterms:W3CDTF">2018-12-10T21:19:25Z</dcterms:modified>
</cp:coreProperties>
</file>