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100" windowHeight="8760"/>
  </bookViews>
  <sheets>
    <sheet name="Saltsild" sheetId="3" r:id="rId1"/>
    <sheet name="Saltprocent" sheetId="4" r:id="rId2"/>
    <sheet name="Spand" sheetId="5" r:id="rId3"/>
    <sheet name="Lockbog" sheetId="6" r:id="rId4"/>
  </sheets>
  <calcPr calcId="125725"/>
</workbook>
</file>

<file path=xl/calcChain.xml><?xml version="1.0" encoding="utf-8"?>
<calcChain xmlns="http://schemas.openxmlformats.org/spreadsheetml/2006/main">
  <c r="H4" i="5"/>
  <c r="E21" i="6" l="1"/>
  <c r="E20"/>
  <c r="E19"/>
  <c r="E18"/>
  <c r="E17"/>
  <c r="E16"/>
  <c r="E15"/>
  <c r="E14"/>
  <c r="E13"/>
  <c r="E12"/>
  <c r="E11"/>
  <c r="E10"/>
  <c r="E9"/>
  <c r="E8"/>
  <c r="E7"/>
  <c r="E22"/>
  <c r="E6"/>
  <c r="E4"/>
  <c r="E3"/>
  <c r="E5" l="1"/>
  <c r="D30" i="3"/>
  <c r="AI36" i="5"/>
  <c r="C13"/>
  <c r="C24" s="1"/>
  <c r="L22" i="3"/>
  <c r="AF26" i="5"/>
  <c r="AG26" s="1"/>
  <c r="W28"/>
  <c r="U28"/>
  <c r="O28"/>
  <c r="S26"/>
  <c r="P26"/>
  <c r="S23"/>
  <c r="P23"/>
  <c r="U20"/>
  <c r="U18"/>
  <c r="S20"/>
  <c r="S18"/>
  <c r="S16"/>
  <c r="P16"/>
  <c r="U6"/>
  <c r="U23" s="1"/>
  <c r="S6"/>
  <c r="P6"/>
  <c r="U3"/>
  <c r="N3"/>
  <c r="U26"/>
  <c r="X9"/>
  <c r="AB40"/>
  <c r="AB39"/>
  <c r="AH36"/>
  <c r="B40" i="3"/>
  <c r="P11" i="5" s="1"/>
  <c r="K40" i="3"/>
  <c r="B41"/>
  <c r="L4" s="1"/>
  <c r="AD23" i="5"/>
  <c r="AD24" s="1"/>
  <c r="C17"/>
  <c r="AC35"/>
  <c r="AB38"/>
  <c r="AB37"/>
  <c r="AB36"/>
  <c r="AD31"/>
  <c r="AD42" s="1"/>
  <c r="AC22"/>
  <c r="AM17"/>
  <c r="AL17"/>
  <c r="AI17"/>
  <c r="AH17"/>
  <c r="AL16"/>
  <c r="AH16"/>
  <c r="AI16" s="1"/>
  <c r="AM16" s="1"/>
  <c r="AM15"/>
  <c r="AL15"/>
  <c r="AI15"/>
  <c r="AH15"/>
  <c r="AL14"/>
  <c r="AH14"/>
  <c r="AI14" s="1"/>
  <c r="AM14" s="1"/>
  <c r="AL13"/>
  <c r="AI13"/>
  <c r="AM13" s="1"/>
  <c r="AH13"/>
  <c r="AA13"/>
  <c r="AL12"/>
  <c r="AI12"/>
  <c r="AM12" s="1"/>
  <c r="AH12"/>
  <c r="AA12"/>
  <c r="AL11"/>
  <c r="AH11"/>
  <c r="AI11" s="1"/>
  <c r="AM11" s="1"/>
  <c r="AA11"/>
  <c r="AC21" s="1"/>
  <c r="AM10"/>
  <c r="AL10"/>
  <c r="AI10"/>
  <c r="AH10"/>
  <c r="AA10"/>
  <c r="AC20" s="1"/>
  <c r="AM9"/>
  <c r="AL9"/>
  <c r="AI9"/>
  <c r="AH9"/>
  <c r="AA9"/>
  <c r="AL8"/>
  <c r="AI8"/>
  <c r="AM8" s="1"/>
  <c r="AH8"/>
  <c r="AA8"/>
  <c r="AL7"/>
  <c r="AH7"/>
  <c r="AI7" s="1"/>
  <c r="AM7" s="1"/>
  <c r="AA7"/>
  <c r="AL6"/>
  <c r="AH6"/>
  <c r="AI6" s="1"/>
  <c r="AM6" s="1"/>
  <c r="AA6"/>
  <c r="AM5"/>
  <c r="AL5"/>
  <c r="AI5"/>
  <c r="AH5"/>
  <c r="AA5"/>
  <c r="AL4"/>
  <c r="AI4"/>
  <c r="AM4" s="1"/>
  <c r="AH4"/>
  <c r="AA4"/>
  <c r="AL3"/>
  <c r="AH3"/>
  <c r="AI3" s="1"/>
  <c r="AM3" s="1"/>
  <c r="AA3"/>
  <c r="E6" i="3" s="1"/>
  <c r="AB1" i="5"/>
  <c r="AB10" s="1"/>
  <c r="I8"/>
  <c r="I6"/>
  <c r="F4" i="4"/>
  <c r="H9" s="1"/>
  <c r="A37"/>
  <c r="A35"/>
  <c r="A34"/>
  <c r="A36" s="1"/>
  <c r="D7"/>
  <c r="C14" i="5" l="1"/>
  <c r="E15" s="1"/>
  <c r="H22" s="1"/>
  <c r="D22"/>
  <c r="J31" i="3"/>
  <c r="AF24" i="5"/>
  <c r="L3" i="3"/>
  <c r="U16" i="5"/>
  <c r="U10"/>
  <c r="S28"/>
  <c r="AD25"/>
  <c r="C18"/>
  <c r="C19" s="1"/>
  <c r="E24" s="1"/>
  <c r="AB3"/>
  <c r="D8" s="1"/>
  <c r="AB7"/>
  <c r="D3" s="1"/>
  <c r="AB11"/>
  <c r="AE21" s="1"/>
  <c r="AD20"/>
  <c r="AE20"/>
  <c r="AB4"/>
  <c r="C5" s="1"/>
  <c r="AB8"/>
  <c r="C6" s="1"/>
  <c r="AB13"/>
  <c r="AB12"/>
  <c r="AB5"/>
  <c r="C7" s="1"/>
  <c r="AB9"/>
  <c r="D6" s="1"/>
  <c r="AB6"/>
  <c r="C8" s="1"/>
  <c r="C7" i="4"/>
  <c r="F7" s="1"/>
  <c r="C34" s="1"/>
  <c r="B12"/>
  <c r="G19" i="5" l="1"/>
  <c r="H15" s="1"/>
  <c r="AD21"/>
  <c r="AD22"/>
  <c r="AE22"/>
  <c r="B20" i="4"/>
  <c r="H10"/>
  <c r="H11" s="1"/>
  <c r="G34" s="1"/>
  <c r="AE26" i="5" l="1"/>
  <c r="AD26"/>
  <c r="E39" i="3"/>
  <c r="E38" s="1"/>
  <c r="AI37" i="5" s="1"/>
  <c r="M27" i="3"/>
  <c r="B39"/>
  <c r="B38"/>
  <c r="G37"/>
  <c r="D18"/>
  <c r="AC40" i="5" l="1"/>
  <c r="AH37"/>
  <c r="AC39" s="1"/>
  <c r="AE23"/>
  <c r="AE24" s="1"/>
  <c r="G38" i="3"/>
  <c r="K38"/>
  <c r="E40" s="1"/>
  <c r="L19"/>
  <c r="L9"/>
  <c r="AE25" i="5" l="1"/>
  <c r="AG24"/>
  <c r="M9" i="3"/>
  <c r="E41"/>
  <c r="AG23" i="5"/>
  <c r="M14" i="3" l="1"/>
  <c r="R10"/>
  <c r="D19" s="1"/>
  <c r="AG29" i="5"/>
  <c r="AG30" s="1"/>
  <c r="AG31" s="1"/>
  <c r="AF37" s="1"/>
  <c r="AE27"/>
  <c r="AE28" s="1"/>
  <c r="AE37" s="1"/>
  <c r="M15" i="3"/>
  <c r="M20" s="1"/>
  <c r="M10"/>
  <c r="M11" s="1"/>
  <c r="N4"/>
  <c r="AG33" i="5" l="1"/>
  <c r="AG34" s="1"/>
  <c r="AG37" s="1"/>
  <c r="D11" i="3"/>
  <c r="M12"/>
  <c r="L11" s="1"/>
  <c r="L12" s="1"/>
  <c r="M16"/>
  <c r="M19" s="1"/>
  <c r="M22" s="1"/>
  <c r="L30" s="1"/>
  <c r="R12"/>
  <c r="N3" s="1"/>
  <c r="AF23" i="5"/>
  <c r="M21" i="3"/>
  <c r="D13"/>
  <c r="AF29" i="5" l="1"/>
  <c r="AF30" s="1"/>
  <c r="AD27"/>
  <c r="AD28" s="1"/>
  <c r="AE36" s="1"/>
  <c r="AC36" s="1"/>
  <c r="H8" s="1"/>
  <c r="G13" i="3"/>
  <c r="D14"/>
  <c r="D16" s="1"/>
  <c r="AF31" i="5" l="1"/>
  <c r="AF36" s="1"/>
  <c r="AC37" s="1"/>
  <c r="H6" s="1"/>
  <c r="C23" i="3" s="1"/>
  <c r="AF33" i="5"/>
  <c r="AF34" s="1"/>
  <c r="AG36" s="1"/>
  <c r="AC38" s="1"/>
  <c r="S10" s="1"/>
  <c r="X8" s="1"/>
  <c r="B7" i="3" s="1"/>
  <c r="D20"/>
  <c r="I7" i="5" l="1"/>
  <c r="D26" i="3"/>
  <c r="K27" s="1"/>
  <c r="D22"/>
  <c r="G11"/>
  <c r="R19"/>
  <c r="G18"/>
  <c r="G19"/>
  <c r="R20"/>
  <c r="G12"/>
  <c r="M23"/>
  <c r="G30" s="1"/>
  <c r="G20" l="1"/>
  <c r="H22" s="1"/>
  <c r="R23"/>
  <c r="G14"/>
  <c r="G16" l="1"/>
  <c r="H26"/>
  <c r="K26" s="1"/>
  <c r="L26" s="1"/>
</calcChain>
</file>

<file path=xl/sharedStrings.xml><?xml version="1.0" encoding="utf-8"?>
<sst xmlns="http://schemas.openxmlformats.org/spreadsheetml/2006/main" count="351" uniqueCount="241">
  <si>
    <t>Salt</t>
  </si>
  <si>
    <t>I alt</t>
  </si>
  <si>
    <t>kg</t>
  </si>
  <si>
    <t>g</t>
  </si>
  <si>
    <t>Sild</t>
  </si>
  <si>
    <t>Antal</t>
  </si>
  <si>
    <t>Vægt</t>
  </si>
  <si>
    <t>Vægt/stk</t>
  </si>
  <si>
    <t>Enhed</t>
  </si>
  <si>
    <t>salt</t>
  </si>
  <si>
    <t>sukker</t>
  </si>
  <si>
    <t>Vand</t>
  </si>
  <si>
    <t>Svind</t>
  </si>
  <si>
    <t xml:space="preserve"> kg</t>
  </si>
  <si>
    <t>med hoved</t>
  </si>
  <si>
    <t>uden hoved</t>
  </si>
  <si>
    <t>Faststof</t>
  </si>
  <si>
    <t>Lage</t>
  </si>
  <si>
    <t>Sild efter</t>
  </si>
  <si>
    <t>Total masse før:</t>
  </si>
  <si>
    <t>Total masse efter:</t>
  </si>
  <si>
    <t>Salt% tilsat sild</t>
  </si>
  <si>
    <t>Membran</t>
  </si>
  <si>
    <t>Skitse over osmose forløbet</t>
  </si>
  <si>
    <t>Salt%</t>
  </si>
  <si>
    <t>Sild før</t>
  </si>
  <si>
    <t>Lagen før</t>
  </si>
  <si>
    <t>Lagen efter</t>
  </si>
  <si>
    <t>Sild hele</t>
  </si>
  <si>
    <r>
      <t xml:space="preserve">1 liter vand ved 4 </t>
    </r>
    <r>
      <rPr>
        <sz val="11"/>
        <color theme="1"/>
        <rFont val="Calibri"/>
        <family val="2"/>
      </rPr>
      <t>°C vejer 1 kg</t>
    </r>
  </si>
  <si>
    <t>kg salt per 1 kg hele sild</t>
  </si>
  <si>
    <t>Vand trukket ud af sildene:</t>
  </si>
  <si>
    <t>Vand% i sild</t>
  </si>
  <si>
    <t>Faststof i sild</t>
  </si>
  <si>
    <t>Før saltning</t>
  </si>
  <si>
    <t>Efter saltning</t>
  </si>
  <si>
    <t>Indhold i sild før saltning</t>
  </si>
  <si>
    <t>Indhold i sild efter saltning</t>
  </si>
  <si>
    <t>Indhold i spanden før saltning</t>
  </si>
  <si>
    <t>Indhold i spanden efter saltning</t>
  </si>
  <si>
    <t>Vand% før</t>
  </si>
  <si>
    <t>Vand% efter</t>
  </si>
  <si>
    <t>for salt og sild</t>
  </si>
  <si>
    <t>Anbefalet sukker for</t>
  </si>
  <si>
    <t>g/kg</t>
  </si>
  <si>
    <t>Massen er konstant før og efter saltning.</t>
  </si>
  <si>
    <t>Skitsen viser princippet i osmose. Vi har en masse (vægt) af sild og salt, som udgør i alt:</t>
  </si>
  <si>
    <t>hoved og tarm</t>
  </si>
  <si>
    <t>Indsæt antal sild og vægten af urenset sild</t>
  </si>
  <si>
    <t>Vælg</t>
  </si>
  <si>
    <t>Salt trækker vand ud af sildene og saltet går så ind i sildene. Når der opstår en ligevægt i salt koncentrationen mellem sild og lage vil osmosen stoppe. Vandindhold i sild er ca. 80 %. Ønskes nedsat med 30 %.</t>
  </si>
  <si>
    <t>Det naturlige saltindhold i sild er ca. 0,6 %, hvilket der ses bort fra i beregningerne. Beregningerne er udført på høstsild med en høj fedtprocent ca. 20 %. Anbefalet salt per kg sild er mellem 200 g og 250 g.</t>
  </si>
  <si>
    <t xml:space="preserve">af brutto mængden spegesild eller </t>
  </si>
  <si>
    <t>af netto mængden sild.</t>
  </si>
  <si>
    <t>Reg. Nr. 1273</t>
  </si>
  <si>
    <t>walter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</si>
  <si>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</si>
  <si>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</si>
  <si>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</si>
  <si>
    <t>Water temperature in °C</t>
  </si>
  <si>
    <t>Grams water</t>
  </si>
  <si>
    <t>Grams salt</t>
  </si>
  <si>
    <t>Hydrometer 0300FG030/15-qp</t>
  </si>
  <si>
    <t>Choose a temperature in drop downlist</t>
  </si>
  <si>
    <t>Weight mixture gram</t>
  </si>
  <si>
    <t>Constants</t>
  </si>
  <si>
    <t>K</t>
  </si>
  <si>
    <t>Hydrometer</t>
  </si>
  <si>
    <t>The mass is constant whether</t>
  </si>
  <si>
    <t>The volume in ml at the selected temperature</t>
  </si>
  <si>
    <t>Modulus</t>
  </si>
  <si>
    <t>1000 grams of water is 4 °C or</t>
  </si>
  <si>
    <t>Water</t>
  </si>
  <si>
    <t>Volume mixture ml</t>
  </si>
  <si>
    <t>Salt density</t>
  </si>
  <si>
    <t>100 °C hot. The weight remains the same.</t>
  </si>
  <si>
    <r>
      <t>g/cm</t>
    </r>
    <r>
      <rPr>
        <sz val="12"/>
        <rFont val="Calibri"/>
        <family val="2"/>
      </rPr>
      <t>³</t>
    </r>
  </si>
  <si>
    <t>The specificke density [ρ] will go down</t>
  </si>
  <si>
    <t>with increasing temperature because the</t>
  </si>
  <si>
    <t>Salt mixture weight %</t>
  </si>
  <si>
    <t>Grams of salt/gram mixture [%]</t>
  </si>
  <si>
    <t>Weight %</t>
  </si>
  <si>
    <t>volume increases with increasing</t>
  </si>
  <si>
    <t>Specific Density ρ [rho]</t>
  </si>
  <si>
    <t>Grams mixture/volume mixture</t>
  </si>
  <si>
    <t>g/ml</t>
  </si>
  <si>
    <t>temperature. °Bé also decreases</t>
  </si>
  <si>
    <t>°Be = K - (K / rho)</t>
  </si>
  <si>
    <t>°Baumé</t>
  </si>
  <si>
    <t>Liquid Heavier than water</t>
  </si>
  <si>
    <t>Table applies to 16 ° C</t>
  </si>
  <si>
    <t>The ideal strength for salting food is between 10 and 15 °Baume at 4 °C</t>
  </si>
  <si>
    <t>Salinity based on dissolved salts</t>
  </si>
  <si>
    <t>Hydrometer measurements were carried out at 16 °C hot demineralized water</t>
  </si>
  <si>
    <t>Fresh water &lt;0.05%</t>
  </si>
  <si>
    <t>The scale on a °Baume hydrometer to brine should go from 0 to 30</t>
  </si>
  <si>
    <t>Brackish water 0.05% to 3%</t>
  </si>
  <si>
    <t>Salt water 3% to 5%</t>
  </si>
  <si>
    <t>Salt solubility in 1 liter of water: 356 g at 0° C, 360 g at 20° C and 398 g at 100° C</t>
  </si>
  <si>
    <t>Brine&gt; 5%</t>
  </si>
  <si>
    <t>1 liter of demineralized water, weighs 1000 grams at 4 °C = 0° Baumé</t>
  </si>
  <si>
    <t>Saturated brine&gt; 28.5% (temperature-dependent)</t>
  </si>
  <si>
    <t xml:space="preserve">The mixture gives </t>
  </si>
  <si>
    <t xml:space="preserve"> liter </t>
  </si>
  <si>
    <t xml:space="preserve">with </t>
  </si>
  <si>
    <t xml:space="preserve"> °Baumé</t>
  </si>
  <si>
    <t>Salts solubility in water as a function of temperature</t>
  </si>
  <si>
    <t>Insert water and salt in grams</t>
  </si>
  <si>
    <t xml:space="preserve">°Baume is an American unit = </t>
  </si>
  <si>
    <r>
      <t xml:space="preserve">Temperature </t>
    </r>
    <r>
      <rPr>
        <sz val="12"/>
        <color theme="0" tint="-4.9989318521683403E-2"/>
        <rFont val="Calibri"/>
        <family val="2"/>
      </rPr>
      <t>°C</t>
    </r>
  </si>
  <si>
    <t>gr salt/1l water</t>
  </si>
  <si>
    <t>http://superfos.com/</t>
  </si>
  <si>
    <t xml:space="preserve"> Når du vælger en spand, skal du tage hensyn til  sildens længde og spandens bund diameter</t>
  </si>
  <si>
    <t>Anvendt plast spand varernr.</t>
  </si>
  <si>
    <t xml:space="preserve"> En høstsild på ca. 165 g kan ligge i en spand med bund diameter på 220 mm uden hoved.</t>
  </si>
  <si>
    <r>
      <t>Formel V=</t>
    </r>
    <r>
      <rPr>
        <sz val="11"/>
        <color theme="1"/>
        <rFont val="Calibri"/>
        <family val="2"/>
      </rPr>
      <t>π</t>
    </r>
    <r>
      <rPr>
        <sz val="11"/>
        <color theme="1"/>
        <rFont val="Calibri"/>
        <family val="2"/>
        <scheme val="minor"/>
      </rPr>
      <t>*r</t>
    </r>
    <r>
      <rPr>
        <sz val="11"/>
        <color theme="1"/>
        <rFont val="Calibri"/>
        <family val="2"/>
      </rPr>
      <t>²*h</t>
    </r>
  </si>
  <si>
    <t>liter</t>
  </si>
  <si>
    <t>Top diameter</t>
  </si>
  <si>
    <t>Brutto</t>
  </si>
  <si>
    <t xml:space="preserve"> Vælg sikkerhedstillæg til spandens volumen</t>
  </si>
  <si>
    <t xml:space="preserve"> for at kunne lægge et pres ovenpå sildene</t>
  </si>
  <si>
    <t>Middel diameter</t>
  </si>
  <si>
    <t>Bund diameter</t>
  </si>
  <si>
    <t>Netto</t>
  </si>
  <si>
    <t xml:space="preserve"> Vælg volumen på spanden</t>
  </si>
  <si>
    <t>Højde</t>
  </si>
  <si>
    <t xml:space="preserve"> Brutto vægt sild, lage , spand, låg og hank</t>
  </si>
  <si>
    <t>Alle mål i mm</t>
  </si>
  <si>
    <t>gram</t>
  </si>
  <si>
    <t>Top Ø</t>
  </si>
  <si>
    <t>Bund Ø</t>
  </si>
  <si>
    <t>Varer nr.</t>
  </si>
  <si>
    <t>Middel Ø</t>
  </si>
  <si>
    <t>Ext. Liter</t>
  </si>
  <si>
    <t>Vægt spand</t>
  </si>
  <si>
    <t>Vægt låg</t>
  </si>
  <si>
    <t>Vægt håndtag</t>
  </si>
  <si>
    <t>Brutto - Netto</t>
  </si>
  <si>
    <t>Vægt i kg</t>
  </si>
  <si>
    <t xml:space="preserve"> med hoved</t>
  </si>
  <si>
    <t xml:space="preserve"> uden hoved</t>
  </si>
  <si>
    <t>Sikkerhed</t>
  </si>
  <si>
    <t>Sukker</t>
  </si>
  <si>
    <t xml:space="preserve">Vægt brutto </t>
  </si>
  <si>
    <t xml:space="preserve">Saltlagen går hertil: </t>
  </si>
  <si>
    <t xml:space="preserve"> cm</t>
  </si>
  <si>
    <t xml:space="preserve"> mm </t>
  </si>
  <si>
    <t xml:space="preserve"> kg </t>
  </si>
  <si>
    <t xml:space="preserve"> mm</t>
  </si>
  <si>
    <t xml:space="preserve"> Du har valgt at salte dine sild</t>
  </si>
  <si>
    <t>1 liter vand =</t>
  </si>
  <si>
    <r>
      <t>ved 4 C</t>
    </r>
    <r>
      <rPr>
        <sz val="11"/>
        <color theme="1"/>
        <rFont val="Calibri"/>
        <family val="2"/>
      </rPr>
      <t>°</t>
    </r>
  </si>
  <si>
    <t>Salt =</t>
  </si>
  <si>
    <t>Vægtfylde =</t>
  </si>
  <si>
    <r>
      <t>g/cm</t>
    </r>
    <r>
      <rPr>
        <sz val="11"/>
        <color theme="1"/>
        <rFont val="Calibri"/>
        <family val="2"/>
      </rPr>
      <t>³</t>
    </r>
  </si>
  <si>
    <t>Opløsning vægt</t>
  </si>
  <si>
    <t>Koncentration =</t>
  </si>
  <si>
    <t>Salt g/Opløsning g =</t>
  </si>
  <si>
    <t>Vægt procent</t>
  </si>
  <si>
    <t>°Baume.</t>
  </si>
  <si>
    <t>Volumen vand</t>
  </si>
  <si>
    <t>ml</t>
  </si>
  <si>
    <t>Volumen salt</t>
  </si>
  <si>
    <t>Vol. opløsning</t>
  </si>
  <si>
    <t>Tilsat lage</t>
  </si>
  <si>
    <t>Volumen i liter</t>
  </si>
  <si>
    <t>I saltsild ønsker vi et saltindhold på 20 %, derfor vil beregningerne se således ud for tilsat lage</t>
  </si>
  <si>
    <t>NB. Vær opmærksom på, at nogle opfatter denne opløsning på 25% fordi 250 g salt er 25% af 1000 g vand.</t>
  </si>
  <si>
    <t>Jeg beregner det således: g [salt]/g [opløsning] i procent = 250/1250*100 [%] = 20%</t>
  </si>
  <si>
    <t xml:space="preserve"> Volumen netto</t>
  </si>
  <si>
    <t>Vægt brutto afrundet</t>
  </si>
  <si>
    <t xml:space="preserve"> Volumen netto afrundet</t>
  </si>
  <si>
    <t xml:space="preserve"> Volumen brutto afrundet</t>
  </si>
  <si>
    <t>Saltlagen går hertil afrundet</t>
  </si>
  <si>
    <t xml:space="preserve"> Sild</t>
  </si>
  <si>
    <t xml:space="preserve"> Salt</t>
  </si>
  <si>
    <t xml:space="preserve"> det er med til at angive spandens størrelse</t>
  </si>
  <si>
    <t>Lagehøjde</t>
  </si>
  <si>
    <t>Volumen brutto</t>
  </si>
  <si>
    <t>Volumen netto</t>
  </si>
  <si>
    <t>Fabrikken opgiver udvendige mål på spandene</t>
  </si>
  <si>
    <t>Spanden, som du vælger ovenfor, skal optimeres for den mængde</t>
  </si>
  <si>
    <t>sild, salt, sukker og tilsat kogt, koldt vand, som beregningerne giver.</t>
  </si>
  <si>
    <t>Vil du salte i en anden spand, skal du blot sørge for, at bunden</t>
  </si>
  <si>
    <t>dækkes optimalt og sildene pakkes så tæt som muligt.</t>
  </si>
  <si>
    <t>Det vil give optimal højde for saltlagen.</t>
  </si>
  <si>
    <t>brug</t>
  </si>
  <si>
    <t>Beregning af salt og sukker mængder for saltet sild og kryddersild</t>
  </si>
  <si>
    <t>Beregning af salt mængde til en lage for spegesild</t>
  </si>
  <si>
    <t>Beregning  på en egnet spand til spegesildene</t>
  </si>
  <si>
    <t>Når dine spegesild har trukket i 3 dage, skal lagen dække alle sild, og gerne lidt mere. Det sker ikke altid, så derfor må der tilsættes en saltlage.</t>
  </si>
  <si>
    <t>Tilsat lage - indsæt mængden i liter</t>
  </si>
  <si>
    <t>Vægtfylde  salt =</t>
  </si>
  <si>
    <t>kg salt/kg sild</t>
  </si>
  <si>
    <t>I opskriften er der brugt</t>
  </si>
  <si>
    <t xml:space="preserve">g salt per kg sild eller </t>
  </si>
  <si>
    <t>Dækker lagen fra sildene ikke, skal der laves en saltlage af 1 liter kogt, koldt vand og</t>
  </si>
  <si>
    <t xml:space="preserve"> g salt, som hældes over sildene, når temperaturen er kommet ned på 5 °C. Et pres lægges over sildene.</t>
  </si>
  <si>
    <t>En saltlage laves af 1 liter vand og</t>
  </si>
  <si>
    <t>g salt. Det giver en vægt procent på</t>
  </si>
  <si>
    <r>
      <t xml:space="preserve">Lagen koges og afkøles til 5 </t>
    </r>
    <r>
      <rPr>
        <sz val="11"/>
        <color theme="1"/>
        <rFont val="Calibri"/>
        <family val="2"/>
      </rPr>
      <t>°C,</t>
    </r>
  </si>
  <si>
    <t>Dato</t>
  </si>
  <si>
    <t>27.10.14</t>
  </si>
  <si>
    <t>med/uden hoved</t>
  </si>
  <si>
    <t>uden</t>
  </si>
  <si>
    <t>Brutto gram</t>
  </si>
  <si>
    <t>Netto gram</t>
  </si>
  <si>
    <t>Svind  procent</t>
  </si>
  <si>
    <t>Salt    gram</t>
  </si>
  <si>
    <t>Sukker  gram</t>
  </si>
  <si>
    <t>Antal  sild</t>
  </si>
  <si>
    <t>Tilsat lage liter</t>
  </si>
  <si>
    <t>Test første prøve-smagning</t>
  </si>
  <si>
    <t>hvid</t>
  </si>
  <si>
    <t>Lockbog over spegesild</t>
  </si>
  <si>
    <t>rød</t>
  </si>
  <si>
    <t>gul</t>
  </si>
  <si>
    <t>Krydderi   hvid-rød-gul</t>
  </si>
  <si>
    <t>Bemærkninger til smag: Salt, sukker, eddike og krydderier</t>
  </si>
  <si>
    <t>NB: Hvid står for "Hvide spegesild" - Rød står for "Røde spegesild" - Gul står for "Karry spegesild"</t>
  </si>
  <si>
    <t>03.11.14</t>
  </si>
  <si>
    <t>Vælg salt mængde per kg sild</t>
  </si>
  <si>
    <t xml:space="preserve">Luft over lagen til at lægge et pres på sildene </t>
  </si>
  <si>
    <t xml:space="preserve"> Volumen af sild og lage </t>
  </si>
  <si>
    <t xml:space="preserve"> liter</t>
  </si>
  <si>
    <t xml:space="preserve"> sikkerhedsfaktor på </t>
  </si>
  <si>
    <t xml:space="preserve"> %</t>
  </si>
  <si>
    <t xml:space="preserve">kryddersild </t>
  </si>
  <si>
    <t xml:space="preserve">spegesild </t>
  </si>
  <si>
    <t>1 liter vand og</t>
  </si>
  <si>
    <t>g salt giver</t>
  </si>
  <si>
    <t>liter, som vil være værdien der skal indsættes i H9, hvis du hælder alt i.</t>
  </si>
  <si>
    <t>Husk følgende:</t>
  </si>
  <si>
    <t>hvor efter den hældes over sildene. Den mængde saltlage, som du tilsætter, skal indsætte i liter i celle H9.</t>
  </si>
  <si>
    <t>Hvordan vil du salte sildene?</t>
  </si>
  <si>
    <r>
      <t xml:space="preserve">Der kan max opløses 357,7 g salt per liter vand ved 4 </t>
    </r>
    <r>
      <rPr>
        <sz val="11"/>
        <color theme="1"/>
        <rFont val="Calibri"/>
        <family val="2"/>
      </rPr>
      <t>°C. Det giver en saltprocent på 26%, som er en mættet saltopløsning ved denne temperatur.</t>
    </r>
  </si>
  <si>
    <t xml:space="preserve">Spand liter  </t>
  </si>
  <si>
    <r>
      <t>h = V/</t>
    </r>
    <r>
      <rPr>
        <sz val="11"/>
        <color theme="0" tint="-0.14999847407452621"/>
        <rFont val="Calibri"/>
        <family val="2"/>
      </rPr>
      <t>π*r²</t>
    </r>
    <r>
      <rPr>
        <sz val="11"/>
        <color theme="0" tint="-0.14999847407452621"/>
        <rFont val="Calibri"/>
        <family val="2"/>
        <scheme val="minor"/>
      </rPr>
      <t xml:space="preserve"> =</t>
    </r>
  </si>
  <si>
    <t>21.12.14</t>
  </si>
  <si>
    <t>Total vejet vægt kg:    Sild salt lage spand låg</t>
  </si>
  <si>
    <t>Kun gule celler skal indtastes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</si>
</sst>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64" formatCode="0.000"/>
    <numFmt numFmtId="165" formatCode="0.0000"/>
    <numFmt numFmtId="166" formatCode="_ * #,##0.000_ ;_ * \-#,##0.000_ ;_ * &quot;-&quot;???_ ;_ @_ "/>
    <numFmt numFmtId="167" formatCode="0.0000000"/>
    <numFmt numFmtId="168" formatCode="0.0"/>
    <numFmt numFmtId="169" formatCode="0.000000"/>
    <numFmt numFmtId="170" formatCode="0.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sz val="12"/>
      <color rgb="FF333333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name val="Calibri"/>
      <family val="2"/>
    </font>
    <font>
      <sz val="8"/>
      <name val="Arial"/>
      <family val="2"/>
    </font>
    <font>
      <sz val="12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sz val="12"/>
      <color theme="0" tint="-4.9989318521683403E-2"/>
      <name val="Calibri"/>
      <family val="2"/>
    </font>
    <font>
      <sz val="11"/>
      <color theme="0" tint="-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4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Dashed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ed">
        <color auto="1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</cellStyleXfs>
  <cellXfs count="381">
    <xf numFmtId="0" fontId="0" fillId="0" borderId="0" xfId="0"/>
    <xf numFmtId="0" fontId="0" fillId="0" borderId="0" xfId="0" applyProtection="1">
      <protection hidden="1"/>
    </xf>
    <xf numFmtId="0" fontId="0" fillId="3" borderId="0" xfId="0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Alignme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4" borderId="20" xfId="0" applyFill="1" applyBorder="1" applyProtection="1">
      <protection hidden="1"/>
    </xf>
    <xf numFmtId="0" fontId="0" fillId="4" borderId="21" xfId="0" applyFill="1" applyBorder="1" applyProtection="1">
      <protection hidden="1"/>
    </xf>
    <xf numFmtId="0" fontId="0" fillId="5" borderId="34" xfId="0" applyFill="1" applyBorder="1" applyProtection="1">
      <protection hidden="1"/>
    </xf>
    <xf numFmtId="164" fontId="0" fillId="5" borderId="0" xfId="0" applyNumberFormat="1" applyFill="1" applyBorder="1" applyProtection="1"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5" borderId="0" xfId="0" applyFill="1" applyBorder="1" applyProtection="1">
      <protection hidden="1"/>
    </xf>
    <xf numFmtId="0" fontId="0" fillId="5" borderId="35" xfId="0" applyFill="1" applyBorder="1" applyAlignment="1" applyProtection="1">
      <alignment horizontal="center"/>
      <protection hidden="1"/>
    </xf>
    <xf numFmtId="0" fontId="0" fillId="5" borderId="39" xfId="0" applyFill="1" applyBorder="1" applyProtection="1">
      <protection hidden="1"/>
    </xf>
    <xf numFmtId="164" fontId="0" fillId="5" borderId="13" xfId="0" applyNumberFormat="1" applyFill="1" applyBorder="1" applyProtection="1">
      <protection hidden="1"/>
    </xf>
    <xf numFmtId="0" fontId="0" fillId="5" borderId="13" xfId="0" applyFill="1" applyBorder="1" applyAlignment="1" applyProtection="1">
      <alignment horizontal="center"/>
      <protection hidden="1"/>
    </xf>
    <xf numFmtId="0" fontId="0" fillId="5" borderId="13" xfId="0" applyFill="1" applyBorder="1" applyProtection="1">
      <protection hidden="1"/>
    </xf>
    <xf numFmtId="0" fontId="0" fillId="5" borderId="42" xfId="0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35" xfId="0" applyFill="1" applyBorder="1" applyAlignment="1" applyProtection="1">
      <alignment horizontal="center" vertical="center"/>
      <protection hidden="1"/>
    </xf>
    <xf numFmtId="10" fontId="0" fillId="5" borderId="0" xfId="1" applyNumberFormat="1" applyFont="1" applyFill="1" applyBorder="1" applyProtection="1">
      <protection hidden="1"/>
    </xf>
    <xf numFmtId="9" fontId="0" fillId="5" borderId="0" xfId="1" applyFont="1" applyFill="1" applyBorder="1" applyProtection="1">
      <protection hidden="1"/>
    </xf>
    <xf numFmtId="0" fontId="0" fillId="5" borderId="36" xfId="0" applyFill="1" applyBorder="1" applyProtection="1">
      <protection hidden="1"/>
    </xf>
    <xf numFmtId="0" fontId="0" fillId="5" borderId="37" xfId="0" applyFill="1" applyBorder="1" applyProtection="1">
      <protection hidden="1"/>
    </xf>
    <xf numFmtId="0" fontId="0" fillId="5" borderId="37" xfId="0" applyFill="1" applyBorder="1" applyAlignment="1" applyProtection="1">
      <alignment horizontal="center" vertical="center"/>
      <protection hidden="1"/>
    </xf>
    <xf numFmtId="0" fontId="0" fillId="5" borderId="38" xfId="0" applyFill="1" applyBorder="1" applyProtection="1">
      <protection hidden="1"/>
    </xf>
    <xf numFmtId="0" fontId="0" fillId="4" borderId="0" xfId="0" applyFill="1" applyBorder="1" applyProtection="1">
      <protection hidden="1"/>
    </xf>
    <xf numFmtId="164" fontId="0" fillId="4" borderId="0" xfId="0" applyNumberFormat="1" applyFill="1" applyBorder="1" applyProtection="1"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4" borderId="13" xfId="0" applyFill="1" applyBorder="1" applyProtection="1">
      <protection hidden="1"/>
    </xf>
    <xf numFmtId="164" fontId="0" fillId="4" borderId="13" xfId="0" applyNumberFormat="1" applyFill="1" applyBorder="1" applyProtection="1"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0" fillId="4" borderId="25" xfId="0" applyFill="1" applyBorder="1" applyProtection="1">
      <protection hidden="1"/>
    </xf>
    <xf numFmtId="0" fontId="0" fillId="4" borderId="24" xfId="0" applyFill="1" applyBorder="1" applyProtection="1">
      <protection hidden="1"/>
    </xf>
    <xf numFmtId="164" fontId="0" fillId="3" borderId="0" xfId="0" applyNumberFormat="1" applyFill="1" applyBorder="1" applyProtection="1">
      <protection hidden="1"/>
    </xf>
    <xf numFmtId="0" fontId="0" fillId="5" borderId="11" xfId="0" applyFill="1" applyBorder="1" applyProtection="1">
      <protection hidden="1"/>
    </xf>
    <xf numFmtId="0" fontId="0" fillId="5" borderId="41" xfId="0" applyFont="1" applyFill="1" applyBorder="1" applyAlignment="1" applyProtection="1">
      <protection hidden="1"/>
    </xf>
    <xf numFmtId="164" fontId="0" fillId="5" borderId="41" xfId="0" applyNumberFormat="1" applyFill="1" applyBorder="1" applyProtection="1">
      <protection hidden="1"/>
    </xf>
    <xf numFmtId="0" fontId="0" fillId="5" borderId="43" xfId="0" applyFill="1" applyBorder="1" applyAlignment="1" applyProtection="1">
      <alignment horizontal="center"/>
      <protection hidden="1"/>
    </xf>
    <xf numFmtId="0" fontId="0" fillId="5" borderId="20" xfId="0" applyFill="1" applyBorder="1" applyProtection="1">
      <protection hidden="1"/>
    </xf>
    <xf numFmtId="9" fontId="0" fillId="5" borderId="0" xfId="0" applyNumberFormat="1" applyFill="1" applyBorder="1" applyProtection="1">
      <protection hidden="1"/>
    </xf>
    <xf numFmtId="0" fontId="0" fillId="5" borderId="21" xfId="0" applyFill="1" applyBorder="1" applyAlignment="1" applyProtection="1">
      <alignment horizontal="center"/>
      <protection hidden="1"/>
    </xf>
    <xf numFmtId="0" fontId="0" fillId="5" borderId="12" xfId="0" applyFill="1" applyBorder="1" applyProtection="1">
      <protection hidden="1"/>
    </xf>
    <xf numFmtId="9" fontId="0" fillId="5" borderId="22" xfId="0" applyNumberFormat="1" applyFill="1" applyBorder="1" applyProtection="1">
      <protection hidden="1"/>
    </xf>
    <xf numFmtId="164" fontId="0" fillId="5" borderId="22" xfId="0" applyNumberFormat="1" applyFill="1" applyBorder="1" applyProtection="1">
      <protection hidden="1"/>
    </xf>
    <xf numFmtId="0" fontId="0" fillId="5" borderId="44" xfId="0" applyFill="1" applyBorder="1" applyAlignment="1" applyProtection="1">
      <alignment horizontal="center"/>
      <protection hidden="1"/>
    </xf>
    <xf numFmtId="0" fontId="0" fillId="5" borderId="18" xfId="0" applyFill="1" applyBorder="1" applyProtection="1">
      <protection hidden="1"/>
    </xf>
    <xf numFmtId="9" fontId="0" fillId="5" borderId="17" xfId="1" applyFont="1" applyFill="1" applyBorder="1" applyProtection="1">
      <protection hidden="1"/>
    </xf>
    <xf numFmtId="9" fontId="0" fillId="5" borderId="0" xfId="1" applyFont="1" applyFill="1" applyBorder="1" applyAlignment="1" applyProtection="1">
      <protection hidden="1"/>
    </xf>
    <xf numFmtId="165" fontId="0" fillId="5" borderId="17" xfId="0" applyNumberFormat="1" applyFill="1" applyBorder="1" applyProtection="1">
      <protection hidden="1"/>
    </xf>
    <xf numFmtId="0" fontId="0" fillId="5" borderId="19" xfId="0" applyFill="1" applyBorder="1" applyAlignment="1" applyProtection="1">
      <alignment horizontal="center"/>
      <protection hidden="1"/>
    </xf>
    <xf numFmtId="165" fontId="0" fillId="5" borderId="0" xfId="0" applyNumberFormat="1" applyFill="1" applyBorder="1" applyAlignment="1" applyProtection="1">
      <protection hidden="1"/>
    </xf>
    <xf numFmtId="0" fontId="0" fillId="4" borderId="12" xfId="0" applyFill="1" applyBorder="1" applyProtection="1">
      <protection hidden="1"/>
    </xf>
    <xf numFmtId="0" fontId="0" fillId="4" borderId="22" xfId="0" applyFill="1" applyBorder="1" applyProtection="1">
      <protection hidden="1"/>
    </xf>
    <xf numFmtId="164" fontId="0" fillId="4" borderId="22" xfId="0" applyNumberFormat="1" applyFill="1" applyBorder="1" applyProtection="1">
      <protection hidden="1"/>
    </xf>
    <xf numFmtId="0" fontId="0" fillId="4" borderId="44" xfId="0" applyFill="1" applyBorder="1" applyAlignment="1" applyProtection="1">
      <alignment horizontal="center"/>
      <protection hidden="1"/>
    </xf>
    <xf numFmtId="0" fontId="0" fillId="4" borderId="23" xfId="0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protection hidden="1"/>
    </xf>
    <xf numFmtId="0" fontId="0" fillId="3" borderId="25" xfId="0" applyFill="1" applyBorder="1" applyProtection="1">
      <protection hidden="1"/>
    </xf>
    <xf numFmtId="0" fontId="0" fillId="3" borderId="23" xfId="0" applyFill="1" applyBorder="1" applyProtection="1">
      <protection hidden="1"/>
    </xf>
    <xf numFmtId="9" fontId="0" fillId="4" borderId="0" xfId="1" applyFont="1" applyFill="1" applyBorder="1" applyProtection="1">
      <protection hidden="1"/>
    </xf>
    <xf numFmtId="2" fontId="0" fillId="3" borderId="0" xfId="0" applyNumberFormat="1" applyFill="1" applyBorder="1" applyAlignment="1" applyProtection="1">
      <alignment horizontal="center"/>
      <protection hidden="1"/>
    </xf>
    <xf numFmtId="9" fontId="0" fillId="3" borderId="0" xfId="1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protection hidden="1"/>
    </xf>
    <xf numFmtId="0" fontId="0" fillId="3" borderId="20" xfId="0" applyFill="1" applyBorder="1" applyProtection="1">
      <protection hidden="1"/>
    </xf>
    <xf numFmtId="0" fontId="0" fillId="3" borderId="0" xfId="0" applyFont="1" applyFill="1" applyBorder="1" applyProtection="1">
      <protection hidden="1"/>
    </xf>
    <xf numFmtId="0" fontId="0" fillId="3" borderId="21" xfId="0" applyFont="1" applyFill="1" applyBorder="1" applyProtection="1">
      <protection hidden="1"/>
    </xf>
    <xf numFmtId="0" fontId="5" fillId="3" borderId="0" xfId="0" applyFont="1" applyFill="1" applyBorder="1" applyProtection="1">
      <protection hidden="1"/>
    </xf>
    <xf numFmtId="0" fontId="0" fillId="3" borderId="21" xfId="0" applyFont="1" applyFill="1" applyBorder="1" applyAlignment="1" applyProtection="1">
      <protection hidden="1"/>
    </xf>
    <xf numFmtId="0" fontId="0" fillId="3" borderId="21" xfId="0" applyFill="1" applyBorder="1" applyProtection="1">
      <protection hidden="1"/>
    </xf>
    <xf numFmtId="164" fontId="0" fillId="3" borderId="0" xfId="0" applyNumberFormat="1" applyFill="1" applyBorder="1" applyAlignment="1" applyProtection="1">
      <alignment horizontal="center"/>
      <protection hidden="1"/>
    </xf>
    <xf numFmtId="9" fontId="0" fillId="3" borderId="0" xfId="1" applyFont="1" applyFill="1" applyBorder="1" applyProtection="1">
      <protection hidden="1"/>
    </xf>
    <xf numFmtId="0" fontId="0" fillId="3" borderId="21" xfId="0" applyFill="1" applyBorder="1" applyAlignment="1" applyProtection="1">
      <alignment horizontal="center"/>
      <protection hidden="1"/>
    </xf>
    <xf numFmtId="0" fontId="9" fillId="3" borderId="23" xfId="0" applyFont="1" applyFill="1" applyBorder="1" applyProtection="1"/>
    <xf numFmtId="0" fontId="0" fillId="6" borderId="2" xfId="0" applyFill="1" applyBorder="1" applyAlignment="1" applyProtection="1">
      <alignment horizontal="center"/>
      <protection hidden="1"/>
    </xf>
    <xf numFmtId="2" fontId="0" fillId="6" borderId="3" xfId="0" applyNumberFormat="1" applyFill="1" applyBorder="1" applyAlignment="1" applyProtection="1">
      <alignment horizontal="center"/>
      <protection hidden="1"/>
    </xf>
    <xf numFmtId="2" fontId="0" fillId="6" borderId="4" xfId="0" applyNumberFormat="1" applyFill="1" applyBorder="1" applyAlignment="1" applyProtection="1">
      <alignment horizontal="center"/>
      <protection hidden="1"/>
    </xf>
    <xf numFmtId="0" fontId="0" fillId="6" borderId="6" xfId="0" applyFill="1" applyBorder="1" applyAlignment="1" applyProtection="1">
      <alignment horizontal="center"/>
      <protection hidden="1"/>
    </xf>
    <xf numFmtId="1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20" xfId="0" applyFont="1" applyFill="1" applyBorder="1" applyProtection="1">
      <protection hidden="1"/>
    </xf>
    <xf numFmtId="0" fontId="14" fillId="3" borderId="0" xfId="0" applyFont="1" applyFill="1" applyBorder="1" applyAlignment="1" applyProtection="1">
      <alignment horizontal="center"/>
      <protection hidden="1"/>
    </xf>
    <xf numFmtId="0" fontId="13" fillId="3" borderId="1" xfId="0" applyFont="1" applyFill="1" applyBorder="1" applyAlignment="1" applyProtection="1">
      <alignment horizontal="center"/>
      <protection hidden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13" fillId="3" borderId="49" xfId="0" applyFont="1" applyFill="1" applyBorder="1" applyAlignment="1" applyProtection="1">
      <alignment horizontal="center"/>
      <protection hidden="1"/>
    </xf>
    <xf numFmtId="1" fontId="14" fillId="3" borderId="50" xfId="0" applyNumberFormat="1" applyFont="1" applyFill="1" applyBorder="1" applyAlignment="1" applyProtection="1">
      <alignment horizontal="center"/>
      <protection hidden="1"/>
    </xf>
    <xf numFmtId="1" fontId="14" fillId="3" borderId="0" xfId="0" applyNumberFormat="1" applyFont="1" applyFill="1" applyBorder="1" applyAlignment="1" applyProtection="1">
      <alignment horizontal="center"/>
      <protection hidden="1"/>
    </xf>
    <xf numFmtId="0" fontId="14" fillId="3" borderId="21" xfId="0" applyFont="1" applyFill="1" applyBorder="1" applyProtection="1">
      <protection hidden="1"/>
    </xf>
    <xf numFmtId="0" fontId="14" fillId="3" borderId="0" xfId="0" applyNumberFormat="1" applyFont="1" applyFill="1" applyBorder="1" applyAlignment="1" applyProtection="1">
      <alignment horizontal="center"/>
      <protection hidden="1"/>
    </xf>
    <xf numFmtId="0" fontId="14" fillId="3" borderId="0" xfId="0" applyFont="1" applyFill="1" applyBorder="1" applyProtection="1">
      <protection hidden="1"/>
    </xf>
    <xf numFmtId="0" fontId="14" fillId="3" borderId="0" xfId="0" applyFont="1" applyFill="1" applyBorder="1" applyAlignment="1" applyProtection="1">
      <protection hidden="1"/>
    </xf>
    <xf numFmtId="0" fontId="14" fillId="3" borderId="0" xfId="0" applyFont="1" applyFill="1" applyBorder="1" applyAlignment="1" applyProtection="1">
      <alignment horizontal="left"/>
      <protection hidden="1"/>
    </xf>
    <xf numFmtId="0" fontId="14" fillId="3" borderId="21" xfId="0" applyFont="1" applyFill="1" applyBorder="1" applyAlignment="1" applyProtection="1">
      <alignment horizontal="center"/>
      <protection hidden="1"/>
    </xf>
    <xf numFmtId="164" fontId="14" fillId="3" borderId="0" xfId="0" applyNumberFormat="1" applyFont="1" applyFill="1" applyBorder="1" applyAlignment="1" applyProtection="1">
      <alignment horizontal="center"/>
      <protection hidden="1"/>
    </xf>
    <xf numFmtId="2" fontId="15" fillId="3" borderId="0" xfId="0" applyNumberFormat="1" applyFont="1" applyFill="1" applyBorder="1" applyAlignment="1" applyProtection="1">
      <alignment horizontal="center"/>
      <protection hidden="1"/>
    </xf>
    <xf numFmtId="0" fontId="15" fillId="3" borderId="21" xfId="0" applyFont="1" applyFill="1" applyBorder="1" applyAlignment="1" applyProtection="1">
      <alignment horizontal="center"/>
      <protection hidden="1"/>
    </xf>
    <xf numFmtId="164" fontId="14" fillId="3" borderId="21" xfId="0" applyNumberFormat="1" applyFont="1" applyFill="1" applyBorder="1" applyAlignment="1" applyProtection="1">
      <alignment horizontal="center"/>
      <protection hidden="1"/>
    </xf>
    <xf numFmtId="0" fontId="14" fillId="3" borderId="20" xfId="0" applyFont="1" applyFill="1" applyBorder="1" applyAlignment="1" applyProtection="1">
      <alignment horizontal="center"/>
      <protection hidden="1"/>
    </xf>
    <xf numFmtId="0" fontId="17" fillId="3" borderId="0" xfId="0" applyFont="1" applyFill="1" applyBorder="1" applyAlignment="1" applyProtection="1">
      <protection hidden="1"/>
    </xf>
    <xf numFmtId="0" fontId="17" fillId="3" borderId="21" xfId="0" applyFont="1" applyFill="1" applyBorder="1" applyAlignment="1" applyProtection="1">
      <protection hidden="1"/>
    </xf>
    <xf numFmtId="0" fontId="14" fillId="3" borderId="21" xfId="0" applyFont="1" applyFill="1" applyBorder="1" applyAlignment="1" applyProtection="1">
      <protection hidden="1"/>
    </xf>
    <xf numFmtId="0" fontId="14" fillId="3" borderId="25" xfId="0" applyFont="1" applyFill="1" applyBorder="1" applyProtection="1">
      <protection hidden="1"/>
    </xf>
    <xf numFmtId="0" fontId="14" fillId="3" borderId="23" xfId="0" applyFont="1" applyFill="1" applyBorder="1" applyProtection="1">
      <protection hidden="1"/>
    </xf>
    <xf numFmtId="0" fontId="14" fillId="3" borderId="24" xfId="0" applyFont="1" applyFill="1" applyBorder="1" applyProtection="1">
      <protection hidden="1"/>
    </xf>
    <xf numFmtId="0" fontId="18" fillId="3" borderId="20" xfId="0" applyFont="1" applyFill="1" applyBorder="1" applyProtection="1">
      <protection hidden="1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  <protection hidden="1"/>
    </xf>
    <xf numFmtId="1" fontId="14" fillId="3" borderId="1" xfId="0" applyNumberFormat="1" applyFont="1" applyFill="1" applyBorder="1" applyAlignment="1" applyProtection="1">
      <alignment horizontal="center"/>
      <protection hidden="1"/>
    </xf>
    <xf numFmtId="0" fontId="13" fillId="3" borderId="0" xfId="0" applyFont="1" applyFill="1" applyBorder="1" applyProtection="1">
      <protection hidden="1"/>
    </xf>
    <xf numFmtId="0" fontId="13" fillId="3" borderId="0" xfId="0" applyFont="1" applyFill="1" applyBorder="1" applyAlignment="1" applyProtection="1">
      <alignment horizontal="left"/>
      <protection hidden="1"/>
    </xf>
    <xf numFmtId="167" fontId="18" fillId="3" borderId="0" xfId="0" applyNumberFormat="1" applyFont="1" applyFill="1" applyBorder="1" applyProtection="1">
      <protection hidden="1"/>
    </xf>
    <xf numFmtId="1" fontId="18" fillId="3" borderId="0" xfId="0" applyNumberFormat="1" applyFont="1" applyFill="1" applyBorder="1" applyAlignment="1" applyProtection="1">
      <protection hidden="1"/>
    </xf>
    <xf numFmtId="0" fontId="18" fillId="3" borderId="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Protection="1">
      <protection hidden="1"/>
    </xf>
    <xf numFmtId="1" fontId="18" fillId="3" borderId="20" xfId="0" applyNumberFormat="1" applyFont="1" applyFill="1" applyBorder="1" applyProtection="1">
      <protection hidden="1"/>
    </xf>
    <xf numFmtId="2" fontId="18" fillId="3" borderId="0" xfId="0" applyNumberFormat="1" applyFont="1" applyFill="1" applyBorder="1" applyAlignment="1" applyProtection="1">
      <protection hidden="1"/>
    </xf>
    <xf numFmtId="0" fontId="18" fillId="3" borderId="0" xfId="0" applyFont="1" applyFill="1" applyBorder="1" applyAlignment="1" applyProtection="1"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10" fontId="18" fillId="3" borderId="20" xfId="1" applyNumberFormat="1" applyFont="1" applyFill="1" applyBorder="1" applyProtection="1">
      <protection hidden="1"/>
    </xf>
    <xf numFmtId="9" fontId="15" fillId="3" borderId="0" xfId="1" applyNumberFormat="1" applyFont="1" applyFill="1" applyBorder="1" applyAlignment="1" applyProtection="1">
      <alignment horizontal="center"/>
      <protection hidden="1"/>
    </xf>
    <xf numFmtId="0" fontId="18" fillId="3" borderId="18" xfId="0" applyFont="1" applyFill="1" applyBorder="1" applyProtection="1">
      <protection hidden="1"/>
    </xf>
    <xf numFmtId="167" fontId="18" fillId="3" borderId="17" xfId="0" applyNumberFormat="1" applyFont="1" applyFill="1" applyBorder="1" applyProtection="1">
      <protection hidden="1"/>
    </xf>
    <xf numFmtId="10" fontId="18" fillId="3" borderId="17" xfId="0" applyNumberFormat="1" applyFont="1" applyFill="1" applyBorder="1" applyProtection="1">
      <protection hidden="1"/>
    </xf>
    <xf numFmtId="2" fontId="18" fillId="3" borderId="17" xfId="0" applyNumberFormat="1" applyFont="1" applyFill="1" applyBorder="1" applyProtection="1">
      <protection hidden="1"/>
    </xf>
    <xf numFmtId="0" fontId="18" fillId="3" borderId="17" xfId="0" applyFont="1" applyFill="1" applyBorder="1" applyProtection="1">
      <protection hidden="1"/>
    </xf>
    <xf numFmtId="0" fontId="9" fillId="3" borderId="19" xfId="0" applyFont="1" applyFill="1" applyBorder="1" applyProtection="1">
      <protection hidden="1"/>
    </xf>
    <xf numFmtId="10" fontId="18" fillId="3" borderId="0" xfId="0" applyNumberFormat="1" applyFont="1" applyFill="1" applyBorder="1" applyProtection="1">
      <protection hidden="1"/>
    </xf>
    <xf numFmtId="2" fontId="18" fillId="3" borderId="0" xfId="0" applyNumberFormat="1" applyFont="1" applyFill="1" applyBorder="1" applyProtection="1">
      <protection hidden="1"/>
    </xf>
    <xf numFmtId="0" fontId="9" fillId="3" borderId="21" xfId="0" applyFont="1" applyFill="1" applyBorder="1" applyProtection="1">
      <protection hidden="1"/>
    </xf>
    <xf numFmtId="0" fontId="19" fillId="3" borderId="0" xfId="0" applyFont="1" applyFill="1" applyBorder="1" applyProtection="1">
      <protection hidden="1"/>
    </xf>
    <xf numFmtId="1" fontId="18" fillId="3" borderId="0" xfId="0" applyNumberFormat="1" applyFont="1" applyFill="1" applyBorder="1" applyProtection="1">
      <protection hidden="1"/>
    </xf>
    <xf numFmtId="0" fontId="9" fillId="3" borderId="20" xfId="0" applyFont="1" applyFill="1" applyBorder="1" applyProtection="1"/>
    <xf numFmtId="0" fontId="9" fillId="3" borderId="0" xfId="0" applyFont="1" applyFill="1" applyBorder="1" applyProtection="1">
      <protection hidden="1"/>
    </xf>
    <xf numFmtId="0" fontId="9" fillId="3" borderId="21" xfId="0" applyFont="1" applyFill="1" applyBorder="1" applyProtection="1"/>
    <xf numFmtId="0" fontId="9" fillId="3" borderId="20" xfId="0" applyFont="1" applyFill="1" applyBorder="1" applyProtection="1">
      <protection hidden="1"/>
    </xf>
    <xf numFmtId="0" fontId="9" fillId="3" borderId="25" xfId="0" applyFont="1" applyFill="1" applyBorder="1" applyProtection="1"/>
    <xf numFmtId="0" fontId="9" fillId="3" borderId="24" xfId="0" applyFont="1" applyFill="1" applyBorder="1" applyProtection="1"/>
    <xf numFmtId="0" fontId="7" fillId="0" borderId="0" xfId="0" applyFont="1" applyFill="1" applyProtection="1">
      <protection hidden="1"/>
    </xf>
    <xf numFmtId="0" fontId="7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21" fillId="0" borderId="0" xfId="0" applyFont="1" applyFill="1" applyProtection="1"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21" xfId="0" applyFill="1" applyBorder="1" applyAlignment="1" applyProtection="1">
      <alignment horizontal="center"/>
      <protection hidden="1"/>
    </xf>
    <xf numFmtId="0" fontId="0" fillId="3" borderId="20" xfId="0" applyFill="1" applyBorder="1" applyAlignment="1" applyProtection="1">
      <protection hidden="1"/>
    </xf>
    <xf numFmtId="0" fontId="0" fillId="3" borderId="21" xfId="0" applyFill="1" applyBorder="1" applyAlignment="1" applyProtection="1">
      <alignment horizontal="left"/>
      <protection hidden="1"/>
    </xf>
    <xf numFmtId="0" fontId="0" fillId="3" borderId="53" xfId="0" applyFill="1" applyBorder="1" applyProtection="1">
      <protection hidden="1"/>
    </xf>
    <xf numFmtId="0" fontId="0" fillId="3" borderId="13" xfId="0" applyFill="1" applyBorder="1" applyProtection="1">
      <protection hidden="1"/>
    </xf>
    <xf numFmtId="0" fontId="0" fillId="3" borderId="13" xfId="0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horizontal="left"/>
      <protection hidden="1"/>
    </xf>
    <xf numFmtId="0" fontId="22" fillId="3" borderId="0" xfId="0" applyFont="1" applyFill="1" applyBorder="1" applyProtection="1">
      <protection hidden="1"/>
    </xf>
    <xf numFmtId="1" fontId="0" fillId="3" borderId="0" xfId="0" applyNumberFormat="1" applyFill="1" applyBorder="1" applyProtection="1">
      <protection hidden="1"/>
    </xf>
    <xf numFmtId="0" fontId="0" fillId="3" borderId="12" xfId="0" applyFill="1" applyBorder="1" applyProtection="1">
      <protection hidden="1"/>
    </xf>
    <xf numFmtId="1" fontId="0" fillId="3" borderId="22" xfId="0" applyNumberFormat="1" applyFill="1" applyBorder="1" applyProtection="1">
      <protection hidden="1"/>
    </xf>
    <xf numFmtId="166" fontId="0" fillId="3" borderId="22" xfId="0" applyNumberFormat="1" applyFont="1" applyFill="1" applyBorder="1" applyAlignment="1" applyProtection="1">
      <alignment horizontal="center" vertical="center"/>
      <protection hidden="1"/>
    </xf>
    <xf numFmtId="166" fontId="0" fillId="3" borderId="23" xfId="0" applyNumberFormat="1" applyFont="1" applyFill="1" applyBorder="1" applyAlignment="1" applyProtection="1">
      <alignment vertical="center"/>
      <protection hidden="1"/>
    </xf>
    <xf numFmtId="0" fontId="0" fillId="3" borderId="23" xfId="0" applyFill="1" applyBorder="1" applyAlignment="1" applyProtection="1">
      <alignment horizontal="center"/>
      <protection hidden="1"/>
    </xf>
    <xf numFmtId="0" fontId="0" fillId="3" borderId="24" xfId="0" applyFill="1" applyBorder="1" applyProtection="1">
      <protection hidden="1"/>
    </xf>
    <xf numFmtId="0" fontId="0" fillId="6" borderId="1" xfId="0" applyFill="1" applyBorder="1" applyAlignment="1" applyProtection="1">
      <alignment horizontal="center"/>
      <protection hidden="1"/>
    </xf>
    <xf numFmtId="164" fontId="0" fillId="6" borderId="1" xfId="0" applyNumberFormat="1" applyFill="1" applyBorder="1" applyAlignment="1" applyProtection="1">
      <alignment horizontal="center"/>
      <protection hidden="1"/>
    </xf>
    <xf numFmtId="164" fontId="7" fillId="6" borderId="46" xfId="0" applyNumberFormat="1" applyFont="1" applyFill="1" applyBorder="1" applyAlignment="1" applyProtection="1">
      <alignment horizontal="center"/>
      <protection hidden="1"/>
    </xf>
    <xf numFmtId="0" fontId="5" fillId="6" borderId="45" xfId="0" applyFont="1" applyFill="1" applyBorder="1" applyAlignment="1" applyProtection="1">
      <alignment horizontal="center"/>
      <protection hidden="1"/>
    </xf>
    <xf numFmtId="164" fontId="7" fillId="3" borderId="0" xfId="0" applyNumberFormat="1" applyFont="1" applyFill="1" applyBorder="1" applyAlignment="1" applyProtection="1">
      <alignment horizontal="center" vertical="center"/>
      <protection hidden="1"/>
    </xf>
    <xf numFmtId="1" fontId="0" fillId="6" borderId="1" xfId="0" applyNumberFormat="1" applyFill="1" applyBorder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8" xfId="0" applyFill="1" applyBorder="1" applyAlignment="1" applyProtection="1">
      <alignment horizontal="center"/>
      <protection hidden="1"/>
    </xf>
    <xf numFmtId="1" fontId="0" fillId="6" borderId="8" xfId="0" applyNumberFormat="1" applyFill="1" applyBorder="1" applyAlignment="1" applyProtection="1">
      <alignment horizontal="center"/>
      <protection hidden="1"/>
    </xf>
    <xf numFmtId="1" fontId="7" fillId="6" borderId="52" xfId="0" applyNumberFormat="1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30" xfId="0" applyFill="1" applyBorder="1" applyProtection="1"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54" xfId="0" applyFill="1" applyBorder="1" applyProtection="1">
      <protection hidden="1"/>
    </xf>
    <xf numFmtId="0" fontId="0" fillId="3" borderId="54" xfId="0" applyFill="1" applyBorder="1" applyAlignment="1" applyProtection="1">
      <alignment vertical="center"/>
      <protection hidden="1"/>
    </xf>
    <xf numFmtId="168" fontId="0" fillId="3" borderId="0" xfId="0" applyNumberForma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protection hidden="1"/>
    </xf>
    <xf numFmtId="1" fontId="5" fillId="3" borderId="0" xfId="0" applyNumberFormat="1" applyFont="1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0" fillId="3" borderId="0" xfId="0" applyFill="1" applyBorder="1" applyAlignment="1" applyProtection="1">
      <alignment vertical="top"/>
      <protection hidden="1"/>
    </xf>
    <xf numFmtId="169" fontId="0" fillId="3" borderId="0" xfId="0" applyNumberFormat="1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6" fillId="2" borderId="11" xfId="0" applyFont="1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  <protection hidden="1"/>
    </xf>
    <xf numFmtId="164" fontId="6" fillId="2" borderId="48" xfId="0" applyNumberFormat="1" applyFont="1" applyFill="1" applyBorder="1" applyAlignment="1" applyProtection="1">
      <alignment horizontal="center"/>
      <protection locked="0"/>
    </xf>
    <xf numFmtId="164" fontId="8" fillId="6" borderId="48" xfId="0" applyNumberFormat="1" applyFont="1" applyFill="1" applyBorder="1" applyAlignment="1" applyProtection="1">
      <alignment horizontal="center"/>
      <protection hidden="1"/>
    </xf>
    <xf numFmtId="0" fontId="3" fillId="0" borderId="17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Protection="1">
      <protection hidden="1"/>
    </xf>
    <xf numFmtId="0" fontId="7" fillId="7" borderId="0" xfId="0" applyFont="1" applyFill="1" applyProtection="1">
      <protection hidden="1"/>
    </xf>
    <xf numFmtId="0" fontId="7" fillId="7" borderId="0" xfId="0" applyFont="1" applyFill="1" applyBorder="1" applyProtection="1">
      <protection hidden="1"/>
    </xf>
    <xf numFmtId="0" fontId="0" fillId="7" borderId="0" xfId="0" applyFill="1" applyProtection="1">
      <protection hidden="1"/>
    </xf>
    <xf numFmtId="0" fontId="4" fillId="4" borderId="16" xfId="0" applyFont="1" applyFill="1" applyBorder="1" applyAlignment="1" applyProtection="1">
      <alignment horizontal="center"/>
      <protection hidden="1"/>
    </xf>
    <xf numFmtId="0" fontId="0" fillId="4" borderId="5" xfId="0" applyFill="1" applyBorder="1" applyProtection="1"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0" fillId="4" borderId="6" xfId="0" applyFill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left"/>
      <protection hidden="1"/>
    </xf>
    <xf numFmtId="0" fontId="8" fillId="4" borderId="1" xfId="0" applyFont="1" applyFill="1" applyBorder="1" applyAlignment="1" applyProtection="1">
      <alignment horizontal="center"/>
      <protection hidden="1"/>
    </xf>
    <xf numFmtId="168" fontId="0" fillId="4" borderId="6" xfId="0" applyNumberFormat="1" applyFill="1" applyBorder="1" applyAlignment="1" applyProtection="1">
      <alignment horizontal="center"/>
      <protection hidden="1"/>
    </xf>
    <xf numFmtId="1" fontId="7" fillId="4" borderId="1" xfId="0" applyNumberFormat="1" applyFont="1" applyFill="1" applyBorder="1" applyAlignment="1" applyProtection="1">
      <alignment horizontal="center"/>
      <protection hidden="1"/>
    </xf>
    <xf numFmtId="0" fontId="0" fillId="4" borderId="7" xfId="0" applyFill="1" applyBorder="1" applyAlignment="1" applyProtection="1">
      <alignment horizontal="left"/>
      <protection hidden="1"/>
    </xf>
    <xf numFmtId="0" fontId="8" fillId="4" borderId="8" xfId="0" applyFont="1" applyFill="1" applyBorder="1" applyAlignment="1" applyProtection="1">
      <alignment horizontal="center"/>
      <protection hidden="1"/>
    </xf>
    <xf numFmtId="0" fontId="0" fillId="4" borderId="9" xfId="0" applyFill="1" applyBorder="1" applyAlignment="1" applyProtection="1">
      <alignment horizontal="center"/>
      <protection hidden="1"/>
    </xf>
    <xf numFmtId="9" fontId="5" fillId="2" borderId="29" xfId="1" applyFont="1" applyFill="1" applyBorder="1" applyAlignment="1" applyProtection="1">
      <alignment horizontal="center"/>
      <protection locked="0"/>
    </xf>
    <xf numFmtId="0" fontId="5" fillId="2" borderId="51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left"/>
      <protection hidden="1"/>
    </xf>
    <xf numFmtId="9" fontId="22" fillId="2" borderId="6" xfId="1" applyNumberFormat="1" applyFont="1" applyFill="1" applyBorder="1" applyAlignment="1" applyProtection="1">
      <alignment horizontal="center"/>
      <protection locked="0"/>
    </xf>
    <xf numFmtId="0" fontId="24" fillId="2" borderId="29" xfId="0" applyFont="1" applyFill="1" applyBorder="1" applyAlignment="1" applyProtection="1">
      <alignment horizontal="center"/>
      <protection locked="0"/>
    </xf>
    <xf numFmtId="164" fontId="7" fillId="2" borderId="26" xfId="0" applyNumberFormat="1" applyFont="1" applyFill="1" applyBorder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  <protection hidden="1"/>
    </xf>
    <xf numFmtId="1" fontId="0" fillId="3" borderId="0" xfId="0" applyNumberFormat="1" applyFill="1" applyBorder="1" applyAlignment="1" applyProtection="1">
      <alignment horizontal="left"/>
      <protection hidden="1"/>
    </xf>
    <xf numFmtId="0" fontId="5" fillId="3" borderId="0" xfId="0" applyFont="1" applyFill="1" applyAlignment="1" applyProtection="1">
      <protection hidden="1"/>
    </xf>
    <xf numFmtId="0" fontId="1" fillId="3" borderId="0" xfId="0" applyFont="1" applyFill="1" applyBorder="1" applyProtection="1">
      <protection hidden="1"/>
    </xf>
    <xf numFmtId="9" fontId="0" fillId="3" borderId="0" xfId="0" applyNumberFormat="1" applyFill="1" applyBorder="1" applyAlignment="1" applyProtection="1">
      <alignment horizontal="center"/>
      <protection hidden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4" borderId="56" xfId="0" applyFont="1" applyFill="1" applyBorder="1" applyAlignment="1" applyProtection="1">
      <alignment horizontal="center" vertical="center"/>
    </xf>
    <xf numFmtId="0" fontId="4" fillId="4" borderId="50" xfId="0" applyFont="1" applyFill="1" applyBorder="1" applyAlignment="1" applyProtection="1">
      <alignment horizontal="center" wrapText="1"/>
    </xf>
    <xf numFmtId="0" fontId="4" fillId="4" borderId="50" xfId="0" applyFont="1" applyFill="1" applyBorder="1" applyAlignment="1" applyProtection="1">
      <alignment horizontal="center" vertical="center" wrapText="1"/>
    </xf>
    <xf numFmtId="0" fontId="4" fillId="4" borderId="57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70" fontId="4" fillId="4" borderId="1" xfId="1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vertic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center"/>
      <protection locked="0"/>
    </xf>
    <xf numFmtId="0" fontId="4" fillId="7" borderId="0" xfId="0" applyFont="1" applyFill="1" applyProtection="1"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4" fillId="7" borderId="0" xfId="0" applyFont="1" applyFill="1" applyAlignment="1" applyProtection="1">
      <alignment vertical="center"/>
      <protection locked="0"/>
    </xf>
    <xf numFmtId="0" fontId="6" fillId="4" borderId="50" xfId="0" applyFont="1" applyFill="1" applyBorder="1" applyAlignment="1" applyProtection="1">
      <alignment horizontal="center" wrapText="1"/>
    </xf>
    <xf numFmtId="0" fontId="27" fillId="7" borderId="0" xfId="0" applyFont="1" applyFill="1" applyAlignment="1" applyProtection="1">
      <alignment horizontal="right" vertical="center"/>
    </xf>
    <xf numFmtId="0" fontId="27" fillId="7" borderId="0" xfId="0" applyFont="1" applyFill="1" applyAlignment="1" applyProtection="1">
      <alignment horizontal="center"/>
    </xf>
    <xf numFmtId="0" fontId="4" fillId="4" borderId="1" xfId="3" applyNumberFormat="1" applyFont="1" applyFill="1" applyBorder="1" applyAlignment="1" applyProtection="1">
      <alignment horizontal="center"/>
      <protection locked="0"/>
    </xf>
    <xf numFmtId="9" fontId="0" fillId="5" borderId="22" xfId="1" applyFont="1" applyFill="1" applyBorder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168" fontId="5" fillId="4" borderId="51" xfId="0" applyNumberFormat="1" applyFont="1" applyFill="1" applyBorder="1" applyAlignment="1" applyProtection="1">
      <alignment horizontal="center"/>
      <protection hidden="1"/>
    </xf>
    <xf numFmtId="164" fontId="5" fillId="2" borderId="52" xfId="0" applyNumberFormat="1" applyFont="1" applyFill="1" applyBorder="1" applyAlignment="1" applyProtection="1">
      <alignment horizontal="center"/>
      <protection locked="0"/>
    </xf>
    <xf numFmtId="9" fontId="6" fillId="4" borderId="1" xfId="1" applyNumberFormat="1" applyFont="1" applyFill="1" applyBorder="1" applyAlignment="1" applyProtection="1">
      <alignment horizontal="center"/>
    </xf>
    <xf numFmtId="9" fontId="6" fillId="4" borderId="8" xfId="1" applyNumberFormat="1" applyFont="1" applyFill="1" applyBorder="1" applyAlignment="1" applyProtection="1">
      <alignment horizontal="center"/>
    </xf>
    <xf numFmtId="0" fontId="28" fillId="7" borderId="0" xfId="0" applyFont="1" applyFill="1" applyBorder="1" applyAlignment="1" applyProtection="1">
      <alignment horizontal="center" vertical="center"/>
      <protection hidden="1"/>
    </xf>
    <xf numFmtId="0" fontId="21" fillId="7" borderId="0" xfId="0" applyFont="1" applyFill="1" applyBorder="1" applyAlignment="1" applyProtection="1">
      <alignment horizontal="center"/>
      <protection hidden="1"/>
    </xf>
    <xf numFmtId="0" fontId="21" fillId="7" borderId="0" xfId="0" applyFont="1" applyFill="1" applyProtection="1">
      <protection hidden="1"/>
    </xf>
    <xf numFmtId="0" fontId="21" fillId="7" borderId="0" xfId="0" applyFont="1" applyFill="1" applyBorder="1" applyAlignment="1" applyProtection="1">
      <protection hidden="1"/>
    </xf>
    <xf numFmtId="0" fontId="21" fillId="7" borderId="0" xfId="0" applyFont="1" applyFill="1" applyBorder="1" applyProtection="1">
      <protection hidden="1"/>
    </xf>
    <xf numFmtId="0" fontId="21" fillId="7" borderId="0" xfId="0" applyFont="1" applyFill="1" applyAlignment="1" applyProtection="1">
      <alignment horizontal="center"/>
      <protection hidden="1"/>
    </xf>
    <xf numFmtId="9" fontId="21" fillId="7" borderId="0" xfId="0" applyNumberFormat="1" applyFont="1" applyFill="1" applyBorder="1" applyAlignment="1" applyProtection="1">
      <alignment horizontal="center"/>
      <protection hidden="1"/>
    </xf>
    <xf numFmtId="168" fontId="21" fillId="7" borderId="0" xfId="0" applyNumberFormat="1" applyFont="1" applyFill="1" applyProtection="1">
      <protection hidden="1"/>
    </xf>
    <xf numFmtId="168" fontId="21" fillId="7" borderId="0" xfId="0" applyNumberFormat="1" applyFont="1" applyFill="1" applyBorder="1" applyAlignment="1" applyProtection="1">
      <alignment horizontal="center"/>
      <protection hidden="1"/>
    </xf>
    <xf numFmtId="168" fontId="21" fillId="7" borderId="0" xfId="0" applyNumberFormat="1" applyFont="1" applyFill="1" applyBorder="1" applyProtection="1">
      <protection hidden="1"/>
    </xf>
    <xf numFmtId="9" fontId="21" fillId="7" borderId="0" xfId="0" applyNumberFormat="1" applyFont="1" applyFill="1" applyBorder="1" applyProtection="1">
      <protection hidden="1"/>
    </xf>
    <xf numFmtId="0" fontId="21" fillId="7" borderId="0" xfId="0" applyFont="1" applyFill="1" applyBorder="1" applyAlignment="1" applyProtection="1">
      <alignment horizontal="right"/>
      <protection hidden="1"/>
    </xf>
    <xf numFmtId="164" fontId="21" fillId="7" borderId="0" xfId="0" applyNumberFormat="1" applyFont="1" applyFill="1" applyProtection="1">
      <protection hidden="1"/>
    </xf>
    <xf numFmtId="164" fontId="21" fillId="7" borderId="0" xfId="0" applyNumberFormat="1" applyFont="1" applyFill="1" applyBorder="1" applyProtection="1">
      <protection hidden="1"/>
    </xf>
    <xf numFmtId="9" fontId="21" fillId="7" borderId="0" xfId="1" applyFont="1" applyFill="1" applyBorder="1" applyProtection="1">
      <protection hidden="1"/>
    </xf>
    <xf numFmtId="0" fontId="21" fillId="7" borderId="0" xfId="0" applyFont="1" applyFill="1" applyBorder="1" applyAlignment="1" applyProtection="1">
      <alignment horizontal="left"/>
      <protection hidden="1"/>
    </xf>
    <xf numFmtId="1" fontId="21" fillId="7" borderId="0" xfId="0" applyNumberFormat="1" applyFont="1" applyFill="1" applyBorder="1" applyProtection="1">
      <protection hidden="1"/>
    </xf>
    <xf numFmtId="168" fontId="21" fillId="7" borderId="0" xfId="0" applyNumberFormat="1" applyFont="1" applyFill="1" applyBorder="1" applyAlignment="1" applyProtection="1">
      <protection hidden="1"/>
    </xf>
    <xf numFmtId="0" fontId="21" fillId="7" borderId="0" xfId="0" applyFont="1" applyFill="1" applyAlignment="1" applyProtection="1">
      <alignment horizontal="left"/>
      <protection hidden="1"/>
    </xf>
    <xf numFmtId="1" fontId="21" fillId="7" borderId="0" xfId="0" applyNumberFormat="1" applyFont="1" applyFill="1" applyBorder="1" applyAlignment="1" applyProtection="1">
      <protection hidden="1"/>
    </xf>
    <xf numFmtId="164" fontId="21" fillId="7" borderId="0" xfId="0" applyNumberFormat="1" applyFont="1" applyFill="1" applyBorder="1" applyAlignment="1" applyProtection="1">
      <protection hidden="1"/>
    </xf>
    <xf numFmtId="0" fontId="21" fillId="7" borderId="0" xfId="0" applyNumberFormat="1" applyFont="1" applyFill="1" applyBorder="1" applyAlignment="1" applyProtection="1">
      <alignment horizontal="center"/>
      <protection hidden="1"/>
    </xf>
    <xf numFmtId="0" fontId="5" fillId="3" borderId="23" xfId="0" applyFont="1" applyFill="1" applyBorder="1" applyAlignment="1" applyProtection="1">
      <alignment horizontal="left"/>
      <protection hidden="1"/>
    </xf>
    <xf numFmtId="0" fontId="3" fillId="4" borderId="20" xfId="0" applyFont="1" applyFill="1" applyBorder="1" applyAlignment="1" applyProtection="1">
      <alignment horizontal="center" vertical="center" textRotation="90"/>
      <protection hidden="1"/>
    </xf>
    <xf numFmtId="0" fontId="3" fillId="4" borderId="25" xfId="0" applyFont="1" applyFill="1" applyBorder="1" applyAlignment="1" applyProtection="1">
      <alignment horizontal="center" vertical="center" textRotation="90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0" fillId="6" borderId="8" xfId="0" applyFill="1" applyBorder="1" applyAlignment="1" applyProtection="1">
      <alignment horizontal="center"/>
      <protection hidden="1"/>
    </xf>
    <xf numFmtId="0" fontId="0" fillId="4" borderId="20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21" xfId="0" applyFill="1" applyBorder="1" applyAlignment="1" applyProtection="1">
      <alignment horizontal="center"/>
      <protection hidden="1"/>
    </xf>
    <xf numFmtId="0" fontId="0" fillId="4" borderId="18" xfId="0" applyFill="1" applyBorder="1" applyAlignment="1" applyProtection="1">
      <alignment horizontal="center"/>
      <protection hidden="1"/>
    </xf>
    <xf numFmtId="0" fontId="0" fillId="4" borderId="17" xfId="0" applyFill="1" applyBorder="1" applyAlignment="1" applyProtection="1">
      <alignment horizontal="center"/>
      <protection hidden="1"/>
    </xf>
    <xf numFmtId="0" fontId="0" fillId="4" borderId="19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5" fillId="6" borderId="18" xfId="0" applyFont="1" applyFill="1" applyBorder="1" applyAlignment="1" applyProtection="1">
      <alignment horizontal="center" vertical="center"/>
      <protection hidden="1"/>
    </xf>
    <xf numFmtId="0" fontId="5" fillId="6" borderId="17" xfId="0" applyFont="1" applyFill="1" applyBorder="1" applyAlignment="1" applyProtection="1">
      <alignment horizontal="center" vertical="center"/>
      <protection hidden="1"/>
    </xf>
    <xf numFmtId="0" fontId="5" fillId="6" borderId="19" xfId="0" applyFont="1" applyFill="1" applyBorder="1" applyAlignment="1" applyProtection="1">
      <alignment horizontal="center" vertical="center"/>
      <protection hidden="1"/>
    </xf>
    <xf numFmtId="0" fontId="5" fillId="6" borderId="25" xfId="0" applyFont="1" applyFill="1" applyBorder="1" applyAlignment="1" applyProtection="1">
      <alignment horizontal="center" vertical="center"/>
      <protection hidden="1"/>
    </xf>
    <xf numFmtId="0" fontId="5" fillId="6" borderId="23" xfId="0" applyFont="1" applyFill="1" applyBorder="1" applyAlignment="1" applyProtection="1">
      <alignment horizontal="center" vertical="center"/>
      <protection hidden="1"/>
    </xf>
    <xf numFmtId="0" fontId="5" fillId="6" borderId="24" xfId="0" applyFon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left"/>
      <protection hidden="1"/>
    </xf>
    <xf numFmtId="0" fontId="0" fillId="6" borderId="47" xfId="0" applyFill="1" applyBorder="1" applyAlignment="1" applyProtection="1">
      <alignment horizontal="left"/>
      <protection hidden="1"/>
    </xf>
    <xf numFmtId="0" fontId="0" fillId="6" borderId="48" xfId="0" applyFill="1" applyBorder="1" applyAlignment="1" applyProtection="1">
      <alignment horizontal="left"/>
      <protection hidden="1"/>
    </xf>
    <xf numFmtId="0" fontId="3" fillId="4" borderId="21" xfId="0" applyFont="1" applyFill="1" applyBorder="1" applyAlignment="1" applyProtection="1">
      <alignment horizontal="center" vertical="center" textRotation="90"/>
      <protection hidden="1"/>
    </xf>
    <xf numFmtId="0" fontId="3" fillId="4" borderId="24" xfId="0" applyFont="1" applyFill="1" applyBorder="1" applyAlignment="1" applyProtection="1">
      <alignment horizontal="center" vertical="center" textRotation="90"/>
      <protection hidden="1"/>
    </xf>
    <xf numFmtId="0" fontId="5" fillId="4" borderId="23" xfId="0" applyFont="1" applyFill="1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23" xfId="0" applyFont="1" applyFill="1" applyBorder="1" applyAlignment="1" applyProtection="1">
      <alignment horizontal="center" vertical="center" wrapText="1"/>
      <protection hidden="1"/>
    </xf>
    <xf numFmtId="1" fontId="0" fillId="6" borderId="1" xfId="0" applyNumberFormat="1" applyFill="1" applyBorder="1" applyAlignment="1" applyProtection="1">
      <alignment horizontal="center"/>
      <protection hidden="1"/>
    </xf>
    <xf numFmtId="1" fontId="0" fillId="6" borderId="6" xfId="0" applyNumberFormat="1" applyFill="1" applyBorder="1" applyAlignment="1" applyProtection="1">
      <alignment horizontal="center"/>
      <protection hidden="1"/>
    </xf>
    <xf numFmtId="1" fontId="0" fillId="6" borderId="8" xfId="0" applyNumberFormat="1" applyFill="1" applyBorder="1" applyAlignment="1" applyProtection="1">
      <alignment horizontal="center"/>
      <protection hidden="1"/>
    </xf>
    <xf numFmtId="1" fontId="0" fillId="6" borderId="9" xfId="0" applyNumberFormat="1" applyFill="1" applyBorder="1" applyAlignment="1" applyProtection="1">
      <alignment horizontal="center"/>
      <protection hidden="1"/>
    </xf>
    <xf numFmtId="0" fontId="5" fillId="6" borderId="20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Border="1" applyAlignment="1" applyProtection="1">
      <alignment horizontal="center" vertical="center"/>
      <protection hidden="1"/>
    </xf>
    <xf numFmtId="0" fontId="5" fillId="6" borderId="21" xfId="0" applyFont="1" applyFill="1" applyBorder="1" applyAlignment="1" applyProtection="1">
      <alignment horizontal="center" vertical="center"/>
      <protection hidden="1"/>
    </xf>
    <xf numFmtId="0" fontId="0" fillId="5" borderId="26" xfId="0" applyFill="1" applyBorder="1" applyAlignment="1" applyProtection="1">
      <alignment horizontal="center"/>
      <protection hidden="1"/>
    </xf>
    <xf numFmtId="0" fontId="0" fillId="5" borderId="27" xfId="0" applyFill="1" applyBorder="1" applyAlignment="1" applyProtection="1">
      <alignment horizontal="center"/>
      <protection hidden="1"/>
    </xf>
    <xf numFmtId="0" fontId="0" fillId="5" borderId="28" xfId="0" applyFill="1" applyBorder="1" applyAlignment="1" applyProtection="1">
      <alignment horizontal="center"/>
      <protection hidden="1"/>
    </xf>
    <xf numFmtId="0" fontId="5" fillId="5" borderId="31" xfId="0" applyFont="1" applyFill="1" applyBorder="1" applyAlignment="1" applyProtection="1">
      <alignment horizontal="center"/>
      <protection hidden="1"/>
    </xf>
    <xf numFmtId="0" fontId="5" fillId="5" borderId="32" xfId="0" applyFont="1" applyFill="1" applyBorder="1" applyAlignment="1" applyProtection="1">
      <alignment horizontal="center"/>
      <protection hidden="1"/>
    </xf>
    <xf numFmtId="0" fontId="5" fillId="5" borderId="33" xfId="0" applyFont="1" applyFill="1" applyBorder="1" applyAlignment="1" applyProtection="1">
      <alignment horizontal="center"/>
      <protection hidden="1"/>
    </xf>
    <xf numFmtId="0" fontId="0" fillId="4" borderId="20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center" vertical="center"/>
      <protection hidden="1"/>
    </xf>
    <xf numFmtId="0" fontId="0" fillId="4" borderId="21" xfId="0" applyFont="1" applyFill="1" applyBorder="1" applyAlignment="1" applyProtection="1">
      <alignment horizontal="center" vertical="center"/>
      <protection hidden="1"/>
    </xf>
    <xf numFmtId="0" fontId="9" fillId="3" borderId="23" xfId="0" applyFont="1" applyFill="1" applyBorder="1" applyAlignment="1" applyProtection="1">
      <alignment horizontal="center"/>
    </xf>
    <xf numFmtId="0" fontId="9" fillId="3" borderId="24" xfId="0" applyFont="1" applyFill="1" applyBorder="1" applyAlignment="1" applyProtection="1">
      <alignment horizontal="center"/>
    </xf>
    <xf numFmtId="166" fontId="5" fillId="3" borderId="0" xfId="0" applyNumberFormat="1" applyFont="1" applyFill="1" applyBorder="1" applyAlignment="1" applyProtection="1">
      <alignment horizontal="center" vertical="center"/>
      <protection hidden="1"/>
    </xf>
    <xf numFmtId="166" fontId="5" fillId="3" borderId="21" xfId="0" applyNumberFormat="1" applyFont="1" applyFill="1" applyBorder="1" applyAlignment="1" applyProtection="1">
      <alignment horizontal="center" vertical="center"/>
      <protection hidden="1"/>
    </xf>
    <xf numFmtId="0" fontId="11" fillId="3" borderId="0" xfId="2" applyFont="1" applyFill="1" applyBorder="1" applyAlignment="1" applyProtection="1">
      <alignment horizontal="center" vertical="center"/>
      <protection hidden="1"/>
    </xf>
    <xf numFmtId="0" fontId="11" fillId="3" borderId="21" xfId="2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Border="1" applyAlignment="1" applyProtection="1">
      <alignment horizontal="center"/>
      <protection hidden="1"/>
    </xf>
    <xf numFmtId="0" fontId="12" fillId="3" borderId="21" xfId="0" applyFont="1" applyFill="1" applyBorder="1" applyAlignment="1" applyProtection="1">
      <alignment horizontal="center"/>
      <protection hidden="1"/>
    </xf>
    <xf numFmtId="0" fontId="3" fillId="3" borderId="18" xfId="0" applyFont="1" applyFill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0" fillId="6" borderId="55" xfId="0" applyFill="1" applyBorder="1" applyAlignment="1" applyProtection="1">
      <alignment horizontal="center"/>
      <protection hidden="1"/>
    </xf>
    <xf numFmtId="0" fontId="0" fillId="5" borderId="10" xfId="0" applyFill="1" applyBorder="1" applyAlignment="1" applyProtection="1">
      <alignment horizontal="center"/>
      <protection hidden="1"/>
    </xf>
    <xf numFmtId="0" fontId="0" fillId="5" borderId="30" xfId="0" applyFill="1" applyBorder="1" applyAlignment="1" applyProtection="1">
      <alignment horizontal="center"/>
      <protection hidden="1"/>
    </xf>
    <xf numFmtId="0" fontId="0" fillId="5" borderId="40" xfId="0" applyFill="1" applyBorder="1" applyAlignment="1" applyProtection="1">
      <alignment horizontal="center"/>
      <protection hidden="1"/>
    </xf>
    <xf numFmtId="0" fontId="0" fillId="5" borderId="14" xfId="0" applyFill="1" applyBorder="1" applyAlignment="1" applyProtection="1">
      <alignment horizontal="center"/>
      <protection hidden="1"/>
    </xf>
    <xf numFmtId="0" fontId="0" fillId="5" borderId="15" xfId="0" applyFill="1" applyBorder="1" applyAlignment="1" applyProtection="1">
      <alignment horizontal="center"/>
      <protection hidden="1"/>
    </xf>
    <xf numFmtId="0" fontId="0" fillId="5" borderId="16" xfId="0" applyFill="1" applyBorder="1" applyAlignment="1" applyProtection="1">
      <alignment horizontal="center"/>
      <protection hidden="1"/>
    </xf>
    <xf numFmtId="0" fontId="0" fillId="4" borderId="27" xfId="0" applyFill="1" applyBorder="1" applyAlignment="1" applyProtection="1">
      <alignment horizontal="left"/>
      <protection hidden="1"/>
    </xf>
    <xf numFmtId="0" fontId="0" fillId="4" borderId="28" xfId="0" applyFill="1" applyBorder="1" applyAlignment="1" applyProtection="1">
      <alignment horizontal="lef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/>
      <protection hidden="1"/>
    </xf>
    <xf numFmtId="0" fontId="0" fillId="5" borderId="22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5" fillId="3" borderId="23" xfId="0" applyFont="1" applyFill="1" applyBorder="1" applyAlignment="1" applyProtection="1">
      <alignment horizontal="center"/>
      <protection hidden="1"/>
    </xf>
    <xf numFmtId="0" fontId="15" fillId="3" borderId="0" xfId="0" applyFont="1" applyFill="1" applyBorder="1" applyAlignment="1" applyProtection="1">
      <alignment horizontal="left" vertical="center"/>
      <protection hidden="1"/>
    </xf>
    <xf numFmtId="0" fontId="13" fillId="3" borderId="0" xfId="0" applyFont="1" applyFill="1" applyBorder="1" applyAlignment="1" applyProtection="1">
      <alignment horizontal="center"/>
      <protection hidden="1"/>
    </xf>
    <xf numFmtId="0" fontId="13" fillId="3" borderId="21" xfId="0" applyFont="1" applyFill="1" applyBorder="1" applyAlignment="1" applyProtection="1">
      <alignment horizontal="center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23" fillId="3" borderId="18" xfId="0" applyFont="1" applyFill="1" applyBorder="1" applyAlignment="1" applyProtection="1">
      <alignment horizontal="center" vertical="center"/>
      <protection hidden="1"/>
    </xf>
    <xf numFmtId="0" fontId="23" fillId="3" borderId="17" xfId="0" applyFont="1" applyFill="1" applyBorder="1" applyAlignment="1" applyProtection="1">
      <alignment horizontal="center" vertical="center"/>
      <protection hidden="1"/>
    </xf>
    <xf numFmtId="0" fontId="23" fillId="3" borderId="19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horizontal="center"/>
      <protection hidden="1"/>
    </xf>
    <xf numFmtId="0" fontId="14" fillId="3" borderId="21" xfId="0" applyFont="1" applyFill="1" applyBorder="1" applyAlignment="1" applyProtection="1">
      <alignment horizontal="center"/>
      <protection hidden="1"/>
    </xf>
    <xf numFmtId="0" fontId="14" fillId="3" borderId="47" xfId="0" applyFont="1" applyFill="1" applyBorder="1" applyAlignment="1" applyProtection="1">
      <alignment horizontal="center"/>
      <protection hidden="1"/>
    </xf>
    <xf numFmtId="0" fontId="14" fillId="3" borderId="48" xfId="0" applyFont="1" applyFill="1" applyBorder="1" applyAlignment="1" applyProtection="1">
      <alignment horizontal="center"/>
      <protection hidden="1"/>
    </xf>
    <xf numFmtId="0" fontId="13" fillId="3" borderId="1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right"/>
      <protection hidden="1"/>
    </xf>
    <xf numFmtId="168" fontId="0" fillId="3" borderId="0" xfId="0" applyNumberFormat="1" applyFill="1" applyBorder="1" applyAlignment="1" applyProtection="1">
      <alignment horizontal="center"/>
      <protection hidden="1"/>
    </xf>
    <xf numFmtId="0" fontId="0" fillId="3" borderId="54" xfId="0" applyFill="1" applyBorder="1" applyAlignment="1" applyProtection="1">
      <alignment horizontal="center" vertical="center"/>
      <protection hidden="1"/>
    </xf>
    <xf numFmtId="1" fontId="0" fillId="3" borderId="0" xfId="0" applyNumberFormat="1" applyFill="1" applyBorder="1" applyAlignment="1" applyProtection="1">
      <alignment horizontal="center" vertical="center"/>
      <protection hidden="1"/>
    </xf>
    <xf numFmtId="0" fontId="21" fillId="7" borderId="0" xfId="0" applyFont="1" applyFill="1" applyAlignment="1" applyProtection="1">
      <alignment horizontal="center"/>
      <protection hidden="1"/>
    </xf>
    <xf numFmtId="0" fontId="21" fillId="7" borderId="0" xfId="0" applyFont="1" applyFill="1" applyBorder="1" applyAlignment="1" applyProtection="1">
      <alignment horizontal="center"/>
      <protection hidden="1"/>
    </xf>
    <xf numFmtId="0" fontId="23" fillId="3" borderId="18" xfId="0" applyFont="1" applyFill="1" applyBorder="1" applyAlignment="1" applyProtection="1">
      <alignment horizontal="center"/>
      <protection hidden="1"/>
    </xf>
    <xf numFmtId="0" fontId="23" fillId="3" borderId="17" xfId="0" applyFont="1" applyFill="1" applyBorder="1" applyAlignment="1" applyProtection="1">
      <alignment horizontal="center"/>
      <protection hidden="1"/>
    </xf>
    <xf numFmtId="0" fontId="0" fillId="3" borderId="23" xfId="0" applyFill="1" applyBorder="1" applyAlignment="1" applyProtection="1">
      <alignment horizontal="center"/>
      <protection hidden="1"/>
    </xf>
    <xf numFmtId="0" fontId="11" fillId="4" borderId="26" xfId="2" applyFill="1" applyBorder="1" applyAlignment="1" applyProtection="1">
      <alignment horizontal="center" vertical="center"/>
      <protection hidden="1"/>
    </xf>
    <xf numFmtId="0" fontId="11" fillId="4" borderId="27" xfId="2" applyFill="1" applyBorder="1" applyAlignment="1" applyProtection="1">
      <alignment horizontal="center" vertical="center"/>
      <protection hidden="1"/>
    </xf>
    <xf numFmtId="0" fontId="11" fillId="4" borderId="28" xfId="2" applyFill="1" applyBorder="1" applyAlignment="1" applyProtection="1">
      <alignment horizontal="center" vertical="center"/>
      <protection hidden="1"/>
    </xf>
    <xf numFmtId="0" fontId="4" fillId="4" borderId="14" xfId="0" applyFont="1" applyFill="1" applyBorder="1" applyAlignment="1" applyProtection="1">
      <alignment horizontal="center"/>
      <protection hidden="1"/>
    </xf>
    <xf numFmtId="0" fontId="4" fillId="4" borderId="15" xfId="0" applyFont="1" applyFill="1" applyBorder="1" applyAlignment="1" applyProtection="1">
      <alignment horizontal="center"/>
      <protection hidden="1"/>
    </xf>
    <xf numFmtId="0" fontId="5" fillId="3" borderId="18" xfId="0" applyFont="1" applyFill="1" applyBorder="1" applyAlignment="1" applyProtection="1">
      <alignment horizontal="center"/>
      <protection hidden="1"/>
    </xf>
    <xf numFmtId="0" fontId="5" fillId="3" borderId="17" xfId="0" applyFont="1" applyFill="1" applyBorder="1" applyAlignment="1" applyProtection="1">
      <alignment horizontal="center"/>
      <protection hidden="1"/>
    </xf>
    <xf numFmtId="0" fontId="5" fillId="3" borderId="19" xfId="0" applyFont="1" applyFill="1" applyBorder="1" applyAlignment="1" applyProtection="1">
      <alignment horizontal="center"/>
      <protection hidden="1"/>
    </xf>
    <xf numFmtId="0" fontId="25" fillId="4" borderId="58" xfId="0" applyFont="1" applyFill="1" applyBorder="1" applyAlignment="1" applyProtection="1">
      <alignment horizontal="center" vertical="center"/>
    </xf>
    <xf numFmtId="0" fontId="25" fillId="4" borderId="59" xfId="0" applyFont="1" applyFill="1" applyBorder="1" applyAlignment="1" applyProtection="1">
      <alignment horizontal="center" vertical="center"/>
    </xf>
    <xf numFmtId="0" fontId="25" fillId="4" borderId="60" xfId="0" applyFont="1" applyFill="1" applyBorder="1" applyAlignment="1" applyProtection="1">
      <alignment horizontal="center" vertical="center"/>
    </xf>
    <xf numFmtId="0" fontId="26" fillId="7" borderId="0" xfId="0" applyFont="1" applyFill="1" applyAlignment="1" applyProtection="1">
      <alignment horizontal="center"/>
      <protection locked="0"/>
    </xf>
    <xf numFmtId="0" fontId="11" fillId="3" borderId="0" xfId="2" applyFont="1" applyFill="1" applyBorder="1" applyAlignment="1" applyProtection="1">
      <alignment vertical="center"/>
      <protection hidden="1"/>
    </xf>
    <xf numFmtId="0" fontId="11" fillId="3" borderId="20" xfId="2" applyFont="1" applyFill="1" applyBorder="1" applyAlignment="1" applyProtection="1">
      <alignment vertical="center"/>
      <protection hidden="1"/>
    </xf>
    <xf numFmtId="0" fontId="11" fillId="3" borderId="21" xfId="2" applyFont="1" applyFill="1" applyBorder="1" applyAlignment="1" applyProtection="1">
      <alignment vertical="center"/>
      <protection hidden="1"/>
    </xf>
    <xf numFmtId="0" fontId="5" fillId="2" borderId="47" xfId="0" applyFont="1" applyFill="1" applyBorder="1" applyAlignment="1" applyProtection="1">
      <alignment horizontal="center"/>
      <protection hidden="1"/>
    </xf>
    <xf numFmtId="0" fontId="5" fillId="2" borderId="41" xfId="0" applyFont="1" applyFill="1" applyBorder="1" applyAlignment="1" applyProtection="1">
      <alignment horizontal="center"/>
      <protection hidden="1"/>
    </xf>
    <xf numFmtId="0" fontId="5" fillId="2" borderId="48" xfId="0" applyFont="1" applyFill="1" applyBorder="1" applyAlignment="1" applyProtection="1">
      <alignment horizontal="center"/>
      <protection hidden="1"/>
    </xf>
  </cellXfs>
  <cellStyles count="4">
    <cellStyle name="1000-sep (2 dec)" xfId="3" builtinId="3"/>
    <cellStyle name="Hyperlink" xfId="2" builtinId="8"/>
    <cellStyle name="Normal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Saltprocent!$B$37</c:f>
          <c:strCache>
            <c:ptCount val="1"/>
            <c:pt idx="0">
              <c:v>Salts solubility in water as a function of temperature</c:v>
            </c:pt>
          </c:strCache>
        </c:strRef>
      </c:tx>
      <c:layout/>
      <c:txPr>
        <a:bodyPr/>
        <a:lstStyle/>
        <a:p>
          <a:pPr>
            <a:defRPr baseline="0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46745620491E-2"/>
          <c:y val="0.10282883444554768"/>
          <c:w val="0.78148521588214126"/>
          <c:h val="0.67535617798508363"/>
        </c:manualLayout>
      </c:layout>
      <c:lineChart>
        <c:grouping val="standard"/>
        <c:ser>
          <c:idx val="1"/>
          <c:order val="0"/>
          <c:tx>
            <c:strRef>
              <c:f>Saltprocent!$C$38</c:f>
              <c:strCache>
                <c:ptCount val="1"/>
                <c:pt idx="0">
                  <c:v>gr salt/1l water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numRef>
              <c:f>Saltprocent!$B$39:$B$49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Saltprocent!$C$39:$C$49</c:f>
              <c:numCache>
                <c:formatCode>0</c:formatCode>
                <c:ptCount val="11"/>
                <c:pt idx="0">
                  <c:v>357</c:v>
                </c:pt>
                <c:pt idx="1">
                  <c:v>358</c:v>
                </c:pt>
                <c:pt idx="2">
                  <c:v>360</c:v>
                </c:pt>
                <c:pt idx="3">
                  <c:v>363</c:v>
                </c:pt>
                <c:pt idx="4">
                  <c:v>366</c:v>
                </c:pt>
                <c:pt idx="5">
                  <c:v>370</c:v>
                </c:pt>
                <c:pt idx="6">
                  <c:v>373</c:v>
                </c:pt>
                <c:pt idx="7">
                  <c:v>378</c:v>
                </c:pt>
                <c:pt idx="8">
                  <c:v>384</c:v>
                </c:pt>
                <c:pt idx="9">
                  <c:v>390</c:v>
                </c:pt>
                <c:pt idx="10">
                  <c:v>398</c:v>
                </c:pt>
              </c:numCache>
            </c:numRef>
          </c:val>
        </c:ser>
        <c:marker val="1"/>
        <c:axId val="135182592"/>
        <c:axId val="139796864"/>
      </c:lineChart>
      <c:catAx>
        <c:axId val="135182592"/>
        <c:scaling>
          <c:orientation val="minMax"/>
        </c:scaling>
        <c:axPos val="b"/>
        <c:majorGridlines/>
        <c:minorGridlines/>
        <c:title>
          <c:tx>
            <c:strRef>
              <c:f>Saltprocent!$B$38</c:f>
              <c:strCache>
                <c:ptCount val="1"/>
                <c:pt idx="0">
                  <c:v>Temperature °C</c:v>
                </c:pt>
              </c:strCache>
            </c:strRef>
          </c:tx>
          <c:layout>
            <c:manualLayout>
              <c:xMode val="edge"/>
              <c:yMode val="edge"/>
              <c:x val="0.41548262301095623"/>
              <c:y val="0.89491703710446613"/>
            </c:manualLayout>
          </c:layout>
          <c:txPr>
            <a:bodyPr/>
            <a:lstStyle/>
            <a:p>
              <a:pPr>
                <a:defRPr sz="12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39796864"/>
        <c:crosses val="autoZero"/>
        <c:auto val="1"/>
        <c:lblAlgn val="ctr"/>
        <c:lblOffset val="100"/>
        <c:tickLblSkip val="1"/>
      </c:catAx>
      <c:valAx>
        <c:axId val="139796864"/>
        <c:scaling>
          <c:orientation val="minMax"/>
          <c:max val="400"/>
          <c:min val="350"/>
        </c:scaling>
        <c:axPos val="l"/>
        <c:majorGridlines/>
        <c:title>
          <c:tx>
            <c:strRef>
              <c:f>Saltprocent!$C$38</c:f>
              <c:strCache>
                <c:ptCount val="1"/>
                <c:pt idx="0">
                  <c:v>gr salt/1l water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200" baseline="0"/>
              </a:pPr>
              <a:endParaRPr lang="da-DK"/>
            </a:p>
          </c:txPr>
        </c:title>
        <c:numFmt formatCode="0" sourceLinked="0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35182592"/>
        <c:crosses val="autoZero"/>
        <c:crossBetween val="midCat"/>
        <c:majorUnit val="10"/>
        <c:minorUnit val="2"/>
      </c:valAx>
      <c:spPr>
        <a:solidFill>
          <a:srgbClr val="1F497D">
            <a:lumMod val="20000"/>
            <a:lumOff val="80000"/>
          </a:srgbClr>
        </a:solidFill>
      </c:spPr>
    </c:plotArea>
    <c:legend>
      <c:legendPos val="r"/>
      <c:layout>
        <c:manualLayout>
          <c:xMode val="edge"/>
          <c:yMode val="edge"/>
          <c:x val="0.86993842315524661"/>
          <c:y val="0.39536940107920826"/>
          <c:w val="0.12491204903734858"/>
          <c:h val="4.8432904847737733E-2"/>
        </c:manualLayout>
      </c:layout>
      <c:spPr>
        <a:ln>
          <a:solidFill>
            <a:srgbClr val="000000"/>
          </a:solidFill>
        </a:ln>
      </c:spPr>
      <c:txPr>
        <a:bodyPr/>
        <a:lstStyle/>
        <a:p>
          <a:pPr>
            <a:defRPr sz="1100"/>
          </a:pPr>
          <a:endParaRPr lang="da-DK"/>
        </a:p>
      </c:txPr>
    </c:legend>
    <c:plotVisOnly val="1"/>
    <c:dispBlanksAs val="gap"/>
  </c:chart>
  <c:spPr>
    <a:solidFill>
      <a:schemeClr val="bg1">
        <a:lumMod val="95000"/>
      </a:schemeClr>
    </a:solidFill>
  </c:spPr>
  <c:printSettings>
    <c:headerFooter/>
    <c:pageMargins b="0.75000000000001266" l="0.70000000000000062" r="0.70000000000000062" t="0.75000000000001266" header="0.31496062992127244" footer="0.31496062992127244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7620</xdr:rowOff>
    </xdr:from>
    <xdr:to>
      <xdr:col>5</xdr:col>
      <xdr:colOff>7620</xdr:colOff>
      <xdr:row>25</xdr:row>
      <xdr:rowOff>7620</xdr:rowOff>
    </xdr:to>
    <xdr:cxnSp macro="">
      <xdr:nvCxnSpPr>
        <xdr:cNvPr id="7" name="Lige forbindelse 6"/>
        <xdr:cNvCxnSpPr/>
      </xdr:nvCxnSpPr>
      <xdr:spPr>
        <a:xfrm>
          <a:off x="2628900" y="815340"/>
          <a:ext cx="7620" cy="3954780"/>
        </a:xfrm>
        <a:prstGeom prst="line">
          <a:avLst/>
        </a:prstGeom>
        <a:ln w="254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25</xdr:row>
      <xdr:rowOff>83820</xdr:rowOff>
    </xdr:from>
    <xdr:to>
      <xdr:col>8</xdr:col>
      <xdr:colOff>1226820</xdr:colOff>
      <xdr:row>49</xdr:row>
      <xdr:rowOff>22860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13</xdr:col>
      <xdr:colOff>320040</xdr:colOff>
      <xdr:row>26</xdr:row>
      <xdr:rowOff>7620</xdr:rowOff>
    </xdr:to>
    <xdr:cxnSp macro="">
      <xdr:nvCxnSpPr>
        <xdr:cNvPr id="10" name="Lige forbindelse 9"/>
        <xdr:cNvCxnSpPr/>
      </xdr:nvCxnSpPr>
      <xdr:spPr>
        <a:xfrm>
          <a:off x="190500" y="1181100"/>
          <a:ext cx="320040" cy="374142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</xdr:colOff>
      <xdr:row>6</xdr:row>
      <xdr:rowOff>0</xdr:rowOff>
    </xdr:from>
    <xdr:to>
      <xdr:col>22</xdr:col>
      <xdr:colOff>320040</xdr:colOff>
      <xdr:row>26</xdr:row>
      <xdr:rowOff>0</xdr:rowOff>
    </xdr:to>
    <xdr:cxnSp macro="">
      <xdr:nvCxnSpPr>
        <xdr:cNvPr id="11" name="Lige forbindelse 10"/>
        <xdr:cNvCxnSpPr/>
      </xdr:nvCxnSpPr>
      <xdr:spPr>
        <a:xfrm flipH="1">
          <a:off x="3147060" y="1181100"/>
          <a:ext cx="312420" cy="37338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4</xdr:row>
      <xdr:rowOff>45720</xdr:rowOff>
    </xdr:from>
    <xdr:to>
      <xdr:col>23</xdr:col>
      <xdr:colOff>7620</xdr:colOff>
      <xdr:row>7</xdr:row>
      <xdr:rowOff>144780</xdr:rowOff>
    </xdr:to>
    <xdr:sp macro="" textlink="">
      <xdr:nvSpPr>
        <xdr:cNvPr id="12" name="Ellipse 11"/>
        <xdr:cNvSpPr/>
      </xdr:nvSpPr>
      <xdr:spPr>
        <a:xfrm>
          <a:off x="198120" y="853440"/>
          <a:ext cx="3276600" cy="6553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25</xdr:row>
      <xdr:rowOff>175260</xdr:rowOff>
    </xdr:to>
    <xdr:cxnSp macro="">
      <xdr:nvCxnSpPr>
        <xdr:cNvPr id="13" name="Lige pilforbindelse 12"/>
        <xdr:cNvCxnSpPr/>
      </xdr:nvCxnSpPr>
      <xdr:spPr>
        <a:xfrm>
          <a:off x="1828800" y="1181100"/>
          <a:ext cx="0" cy="371856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160020</xdr:colOff>
      <xdr:row>15</xdr:row>
      <xdr:rowOff>175260</xdr:rowOff>
    </xdr:from>
    <xdr:to>
      <xdr:col>22</xdr:col>
      <xdr:colOff>167640</xdr:colOff>
      <xdr:row>16</xdr:row>
      <xdr:rowOff>0</xdr:rowOff>
    </xdr:to>
    <xdr:cxnSp macro="">
      <xdr:nvCxnSpPr>
        <xdr:cNvPr id="14" name="Lige pilforbindelse 13"/>
        <xdr:cNvCxnSpPr/>
      </xdr:nvCxnSpPr>
      <xdr:spPr>
        <a:xfrm flipV="1">
          <a:off x="350520" y="3040380"/>
          <a:ext cx="2956560" cy="762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6</xdr:row>
      <xdr:rowOff>3810</xdr:rowOff>
    </xdr:from>
    <xdr:to>
      <xdr:col>23</xdr:col>
      <xdr:colOff>7620</xdr:colOff>
      <xdr:row>6</xdr:row>
      <xdr:rowOff>3810</xdr:rowOff>
    </xdr:to>
    <xdr:cxnSp macro="">
      <xdr:nvCxnSpPr>
        <xdr:cNvPr id="15" name="Lige pilforbindelse 14"/>
        <xdr:cNvCxnSpPr>
          <a:stCxn id="12" idx="2"/>
          <a:endCxn id="12" idx="6"/>
        </xdr:cNvCxnSpPr>
      </xdr:nvCxnSpPr>
      <xdr:spPr>
        <a:xfrm>
          <a:off x="198120" y="1184910"/>
          <a:ext cx="3276600" cy="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68580</xdr:colOff>
      <xdr:row>10</xdr:row>
      <xdr:rowOff>0</xdr:rowOff>
    </xdr:from>
    <xdr:to>
      <xdr:col>22</xdr:col>
      <xdr:colOff>251460</xdr:colOff>
      <xdr:row>10</xdr:row>
      <xdr:rowOff>0</xdr:rowOff>
    </xdr:to>
    <xdr:cxnSp macro="">
      <xdr:nvCxnSpPr>
        <xdr:cNvPr id="16" name="Lige forbindelse 15"/>
        <xdr:cNvCxnSpPr/>
      </xdr:nvCxnSpPr>
      <xdr:spPr>
        <a:xfrm>
          <a:off x="259080" y="1935480"/>
          <a:ext cx="313182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182880</xdr:colOff>
      <xdr:row>6</xdr:row>
      <xdr:rowOff>7620</xdr:rowOff>
    </xdr:from>
    <xdr:to>
      <xdr:col>24</xdr:col>
      <xdr:colOff>182880</xdr:colOff>
      <xdr:row>10</xdr:row>
      <xdr:rowOff>0</xdr:rowOff>
    </xdr:to>
    <xdr:cxnSp macro="">
      <xdr:nvCxnSpPr>
        <xdr:cNvPr id="17" name="Lige pilforbindelse 16"/>
        <xdr:cNvCxnSpPr/>
      </xdr:nvCxnSpPr>
      <xdr:spPr>
        <a:xfrm>
          <a:off x="3977640" y="1188720"/>
          <a:ext cx="0" cy="74676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://superfos.com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4"/>
  <sheetViews>
    <sheetView tabSelected="1" workbookViewId="0">
      <selection sqref="A1:T1"/>
    </sheetView>
  </sheetViews>
  <sheetFormatPr defaultColWidth="8.85546875" defaultRowHeight="15"/>
  <cols>
    <col min="1" max="1" width="3.42578125" style="1" customWidth="1"/>
    <col min="2" max="9" width="10.7109375" style="1" customWidth="1"/>
    <col min="10" max="10" width="4.7109375" style="1" customWidth="1"/>
    <col min="11" max="11" width="20.7109375" style="1" customWidth="1"/>
    <col min="12" max="12" width="19.7109375" style="1" customWidth="1"/>
    <col min="13" max="14" width="8.7109375" style="1" customWidth="1"/>
    <col min="15" max="15" width="2.7109375" style="1" customWidth="1"/>
    <col min="16" max="20" width="12.7109375" style="1" customWidth="1"/>
    <col min="21" max="16384" width="8.85546875" style="1"/>
  </cols>
  <sheetData>
    <row r="1" spans="1:22" ht="21.6" customHeight="1">
      <c r="A1" s="324" t="s">
        <v>187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6"/>
    </row>
    <row r="2" spans="1:22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2">
      <c r="A3" s="67"/>
      <c r="B3" s="336" t="s">
        <v>23</v>
      </c>
      <c r="C3" s="336"/>
      <c r="D3" s="336"/>
      <c r="E3" s="336"/>
      <c r="F3" s="336"/>
      <c r="G3" s="336"/>
      <c r="H3" s="336"/>
      <c r="I3" s="336"/>
      <c r="J3" s="68"/>
      <c r="K3" s="170"/>
      <c r="L3" s="181" t="str">
        <f>+B40</f>
        <v>spegesild uden hoved</v>
      </c>
      <c r="M3" s="181" t="s">
        <v>186</v>
      </c>
      <c r="N3" s="182">
        <f>ROUND(R12,3)*1000</f>
        <v>720</v>
      </c>
      <c r="O3" s="70" t="s">
        <v>3</v>
      </c>
      <c r="P3" s="70" t="s">
        <v>9</v>
      </c>
      <c r="Q3" s="170"/>
      <c r="R3" s="170"/>
      <c r="S3" s="68"/>
      <c r="T3" s="69"/>
    </row>
    <row r="4" spans="1:22">
      <c r="A4" s="67"/>
      <c r="B4" s="68"/>
      <c r="C4" s="68"/>
      <c r="D4" s="68"/>
      <c r="E4" s="336" t="s">
        <v>22</v>
      </c>
      <c r="F4" s="336"/>
      <c r="G4" s="68"/>
      <c r="H4" s="68"/>
      <c r="I4" s="68"/>
      <c r="J4" s="68"/>
      <c r="K4" s="170"/>
      <c r="L4" s="70" t="str">
        <f>+B41</f>
        <v>spegesild uden hoved</v>
      </c>
      <c r="M4" s="70" t="s">
        <v>186</v>
      </c>
      <c r="N4" s="70">
        <f>ROUND((R16*M9),0)</f>
        <v>29</v>
      </c>
      <c r="O4" s="70" t="s">
        <v>3</v>
      </c>
      <c r="P4" s="70" t="s">
        <v>10</v>
      </c>
      <c r="Q4" s="170"/>
      <c r="R4" s="170"/>
      <c r="S4" s="68"/>
      <c r="T4" s="69"/>
    </row>
    <row r="5" spans="1:22">
      <c r="A5" s="67"/>
      <c r="B5" s="336" t="s">
        <v>34</v>
      </c>
      <c r="C5" s="336"/>
      <c r="D5" s="336"/>
      <c r="E5" s="336"/>
      <c r="F5" s="336" t="s">
        <v>35</v>
      </c>
      <c r="G5" s="336"/>
      <c r="H5" s="336"/>
      <c r="I5" s="336"/>
      <c r="J5" s="68"/>
      <c r="K5" s="70"/>
      <c r="L5" s="70"/>
      <c r="M5" s="70"/>
      <c r="N5" s="70"/>
      <c r="O5" s="70"/>
      <c r="P5" s="70"/>
      <c r="Q5" s="70"/>
      <c r="R5" s="70"/>
      <c r="S5" s="68"/>
      <c r="T5" s="69"/>
    </row>
    <row r="6" spans="1:22" ht="15.75" thickBot="1">
      <c r="A6" s="67"/>
      <c r="B6" s="68"/>
      <c r="C6" s="68"/>
      <c r="D6" s="68"/>
      <c r="E6" s="340" t="str">
        <f>CONCATENATE(Spand!AA3,Spand!AB1)</f>
        <v>Spand liter  5,8</v>
      </c>
      <c r="F6" s="340"/>
      <c r="G6" s="68"/>
      <c r="H6" s="68"/>
      <c r="I6" s="68"/>
      <c r="J6" s="68"/>
      <c r="K6" s="68"/>
      <c r="L6" s="68"/>
      <c r="M6" s="68"/>
      <c r="N6" s="68"/>
      <c r="O6" s="68"/>
      <c r="P6" s="272" t="s">
        <v>221</v>
      </c>
      <c r="Q6" s="272"/>
      <c r="R6" s="272"/>
      <c r="S6" s="68"/>
      <c r="T6" s="71"/>
      <c r="U6" s="6"/>
      <c r="V6" s="6"/>
    </row>
    <row r="7" spans="1:22" ht="14.45" customHeight="1" thickBot="1">
      <c r="A7" s="67"/>
      <c r="B7" s="286" t="str">
        <f>CONCATENATE(Spand!AB41,Spand!X8,Spand!X9)</f>
        <v>Luft over lagen til at lægge et pres på sildene 73 mm</v>
      </c>
      <c r="C7" s="287"/>
      <c r="D7" s="287"/>
      <c r="E7" s="287"/>
      <c r="F7" s="287"/>
      <c r="G7" s="287"/>
      <c r="H7" s="287"/>
      <c r="I7" s="288"/>
      <c r="J7" s="2"/>
      <c r="K7" s="307" t="s">
        <v>29</v>
      </c>
      <c r="L7" s="308"/>
      <c r="M7" s="308"/>
      <c r="N7" s="309"/>
      <c r="O7" s="2"/>
      <c r="P7" s="215">
        <v>0.25</v>
      </c>
      <c r="Q7" s="334" t="s">
        <v>30</v>
      </c>
      <c r="R7" s="334"/>
      <c r="S7" s="335"/>
      <c r="T7" s="72"/>
      <c r="U7" s="7"/>
    </row>
    <row r="8" spans="1:22" ht="14.45" customHeight="1">
      <c r="A8" s="67"/>
      <c r="B8" s="304"/>
      <c r="C8" s="305"/>
      <c r="D8" s="305"/>
      <c r="E8" s="305"/>
      <c r="F8" s="305"/>
      <c r="G8" s="305"/>
      <c r="H8" s="305"/>
      <c r="I8" s="306"/>
      <c r="J8" s="2"/>
      <c r="K8" s="328" t="s">
        <v>36</v>
      </c>
      <c r="L8" s="329"/>
      <c r="M8" s="329"/>
      <c r="N8" s="330"/>
      <c r="O8" s="2"/>
      <c r="P8" s="279" t="s">
        <v>38</v>
      </c>
      <c r="Q8" s="280"/>
      <c r="R8" s="280"/>
      <c r="S8" s="281"/>
      <c r="T8" s="72"/>
      <c r="V8" s="8"/>
    </row>
    <row r="9" spans="1:22" ht="14.45" customHeight="1" thickBot="1">
      <c r="A9" s="67"/>
      <c r="B9" s="313"/>
      <c r="C9" s="314"/>
      <c r="D9" s="314"/>
      <c r="E9" s="314"/>
      <c r="F9" s="314"/>
      <c r="G9" s="314"/>
      <c r="H9" s="314"/>
      <c r="I9" s="315"/>
      <c r="J9" s="2"/>
      <c r="K9" s="38" t="s">
        <v>28</v>
      </c>
      <c r="L9" s="39" t="str">
        <f>+L3</f>
        <v>spegesild uden hoved</v>
      </c>
      <c r="M9" s="40">
        <f>+K38</f>
        <v>2.88</v>
      </c>
      <c r="N9" s="41" t="s">
        <v>2</v>
      </c>
      <c r="O9" s="2"/>
      <c r="P9" s="9" t="s">
        <v>17</v>
      </c>
      <c r="Q9" s="29"/>
      <c r="R9" s="30">
        <v>0</v>
      </c>
      <c r="S9" s="149" t="s">
        <v>2</v>
      </c>
      <c r="T9" s="72"/>
    </row>
    <row r="10" spans="1:22" ht="15" customHeight="1">
      <c r="A10" s="67"/>
      <c r="B10" s="273" t="s">
        <v>26</v>
      </c>
      <c r="C10" s="310" t="s">
        <v>25</v>
      </c>
      <c r="D10" s="311"/>
      <c r="E10" s="311"/>
      <c r="F10" s="311" t="s">
        <v>18</v>
      </c>
      <c r="G10" s="311"/>
      <c r="H10" s="312"/>
      <c r="I10" s="295" t="s">
        <v>27</v>
      </c>
      <c r="J10" s="2"/>
      <c r="K10" s="42" t="s">
        <v>32</v>
      </c>
      <c r="L10" s="24">
        <v>0.8</v>
      </c>
      <c r="M10" s="12">
        <f>+M9*L10</f>
        <v>2.3039999999999998</v>
      </c>
      <c r="N10" s="44" t="s">
        <v>2</v>
      </c>
      <c r="O10" s="2"/>
      <c r="P10" s="9" t="s">
        <v>0</v>
      </c>
      <c r="Q10" s="29"/>
      <c r="R10" s="30">
        <f>+P7*M9</f>
        <v>0.72</v>
      </c>
      <c r="S10" s="149" t="s">
        <v>2</v>
      </c>
      <c r="T10" s="72"/>
    </row>
    <row r="11" spans="1:22">
      <c r="A11" s="67"/>
      <c r="B11" s="273"/>
      <c r="C11" s="11" t="s">
        <v>11</v>
      </c>
      <c r="D11" s="12">
        <f>+M10</f>
        <v>2.3039999999999998</v>
      </c>
      <c r="E11" s="13" t="s">
        <v>2</v>
      </c>
      <c r="F11" s="14" t="s">
        <v>11</v>
      </c>
      <c r="G11" s="12">
        <f>+M20</f>
        <v>1.44</v>
      </c>
      <c r="H11" s="15" t="s">
        <v>2</v>
      </c>
      <c r="I11" s="295"/>
      <c r="J11" s="2"/>
      <c r="K11" s="42" t="s">
        <v>33</v>
      </c>
      <c r="L11" s="24">
        <f>+M11/M12</f>
        <v>0.20000000000000004</v>
      </c>
      <c r="M11" s="12">
        <f>+M9-M10</f>
        <v>0.57600000000000007</v>
      </c>
      <c r="N11" s="44" t="s">
        <v>2</v>
      </c>
      <c r="O11" s="2"/>
      <c r="P11" s="9"/>
      <c r="Q11" s="29"/>
      <c r="R11" s="29"/>
      <c r="S11" s="10"/>
      <c r="T11" s="72"/>
    </row>
    <row r="12" spans="1:22" ht="15.75" thickBot="1">
      <c r="A12" s="67"/>
      <c r="B12" s="273"/>
      <c r="C12" s="11" t="s">
        <v>0</v>
      </c>
      <c r="D12" s="12">
        <v>0</v>
      </c>
      <c r="E12" s="13" t="s">
        <v>2</v>
      </c>
      <c r="F12" s="14" t="s">
        <v>0</v>
      </c>
      <c r="G12" s="12">
        <f>+M22</f>
        <v>0.504</v>
      </c>
      <c r="H12" s="15" t="s">
        <v>2</v>
      </c>
      <c r="I12" s="295"/>
      <c r="J12" s="2"/>
      <c r="K12" s="45" t="s">
        <v>1</v>
      </c>
      <c r="L12" s="244">
        <f>SUM(L10:L11)</f>
        <v>1</v>
      </c>
      <c r="M12" s="47">
        <f>SUM(M10:M11)</f>
        <v>2.88</v>
      </c>
      <c r="N12" s="48" t="s">
        <v>2</v>
      </c>
      <c r="O12" s="73"/>
      <c r="P12" s="55" t="s">
        <v>1</v>
      </c>
      <c r="Q12" s="56"/>
      <c r="R12" s="57">
        <f>SUM(R9:R10)</f>
        <v>0.72</v>
      </c>
      <c r="S12" s="58" t="s">
        <v>2</v>
      </c>
      <c r="T12" s="72"/>
    </row>
    <row r="13" spans="1:22" ht="15.75" thickBot="1">
      <c r="A13" s="67"/>
      <c r="B13" s="273"/>
      <c r="C13" s="11" t="s">
        <v>16</v>
      </c>
      <c r="D13" s="12">
        <f>+M11</f>
        <v>0.57600000000000007</v>
      </c>
      <c r="E13" s="13" t="s">
        <v>2</v>
      </c>
      <c r="F13" s="14" t="s">
        <v>16</v>
      </c>
      <c r="G13" s="12">
        <f>+D13</f>
        <v>0.57600000000000007</v>
      </c>
      <c r="H13" s="15" t="s">
        <v>2</v>
      </c>
      <c r="I13" s="295"/>
      <c r="J13" s="2"/>
      <c r="K13" s="2"/>
      <c r="L13" s="2"/>
      <c r="M13" s="2"/>
      <c r="N13" s="2"/>
      <c r="O13" s="2"/>
      <c r="P13" s="2"/>
      <c r="Q13" s="2"/>
      <c r="R13" s="2"/>
      <c r="S13" s="2"/>
      <c r="T13" s="72"/>
    </row>
    <row r="14" spans="1:22" ht="15.75" thickBot="1">
      <c r="A14" s="67"/>
      <c r="B14" s="273"/>
      <c r="C14" s="16" t="s">
        <v>1</v>
      </c>
      <c r="D14" s="17">
        <f>SUM(D11:D13)</f>
        <v>2.88</v>
      </c>
      <c r="E14" s="18" t="s">
        <v>2</v>
      </c>
      <c r="F14" s="19" t="s">
        <v>1</v>
      </c>
      <c r="G14" s="17">
        <f>SUM(G11:G13)</f>
        <v>2.52</v>
      </c>
      <c r="H14" s="20" t="s">
        <v>2</v>
      </c>
      <c r="I14" s="295"/>
      <c r="J14" s="2"/>
      <c r="K14" s="49" t="s">
        <v>40</v>
      </c>
      <c r="L14" s="50">
        <v>0.8</v>
      </c>
      <c r="M14" s="52">
        <f>+L14*M9</f>
        <v>2.3039999999999998</v>
      </c>
      <c r="N14" s="53" t="s">
        <v>2</v>
      </c>
      <c r="O14" s="2"/>
      <c r="P14" s="282" t="s">
        <v>43</v>
      </c>
      <c r="Q14" s="283"/>
      <c r="R14" s="283"/>
      <c r="S14" s="284"/>
      <c r="T14" s="72"/>
    </row>
    <row r="15" spans="1:22" ht="15.75" thickTop="1">
      <c r="A15" s="67"/>
      <c r="B15" s="273"/>
      <c r="C15" s="11"/>
      <c r="D15" s="12"/>
      <c r="E15" s="21"/>
      <c r="F15" s="14"/>
      <c r="G15" s="12"/>
      <c r="H15" s="22"/>
      <c r="I15" s="295"/>
      <c r="J15" s="2"/>
      <c r="K15" s="42" t="s">
        <v>41</v>
      </c>
      <c r="L15" s="51">
        <v>0.5</v>
      </c>
      <c r="M15" s="54">
        <f>+L15*M9</f>
        <v>1.44</v>
      </c>
      <c r="N15" s="44" t="s">
        <v>2</v>
      </c>
      <c r="O15" s="73"/>
      <c r="P15" s="9" t="s">
        <v>227</v>
      </c>
      <c r="Q15" s="148"/>
      <c r="R15" s="148">
        <v>20</v>
      </c>
      <c r="S15" s="10" t="s">
        <v>44</v>
      </c>
      <c r="T15" s="72"/>
    </row>
    <row r="16" spans="1:22" ht="15.75" thickBot="1">
      <c r="A16" s="67"/>
      <c r="B16" s="273"/>
      <c r="C16" s="11" t="s">
        <v>24</v>
      </c>
      <c r="D16" s="23">
        <f>+D12/D14</f>
        <v>0</v>
      </c>
      <c r="E16" s="21"/>
      <c r="F16" s="14" t="s">
        <v>24</v>
      </c>
      <c r="G16" s="24">
        <f>+G12/G14</f>
        <v>0.2</v>
      </c>
      <c r="H16" s="22"/>
      <c r="I16" s="295"/>
      <c r="J16" s="2"/>
      <c r="K16" s="337" t="s">
        <v>31</v>
      </c>
      <c r="L16" s="338"/>
      <c r="M16" s="47">
        <f>+M14-M15</f>
        <v>0.86399999999999988</v>
      </c>
      <c r="N16" s="48" t="s">
        <v>2</v>
      </c>
      <c r="O16" s="2"/>
      <c r="P16" s="35" t="s">
        <v>228</v>
      </c>
      <c r="Q16" s="59"/>
      <c r="R16" s="59">
        <v>10</v>
      </c>
      <c r="S16" s="36" t="s">
        <v>44</v>
      </c>
      <c r="T16" s="72"/>
    </row>
    <row r="17" spans="1:20" ht="15.75" thickBot="1">
      <c r="A17" s="67"/>
      <c r="B17" s="273"/>
      <c r="C17" s="25"/>
      <c r="D17" s="26"/>
      <c r="E17" s="27"/>
      <c r="F17" s="26"/>
      <c r="G17" s="26"/>
      <c r="H17" s="28"/>
      <c r="I17" s="295"/>
      <c r="J17" s="2"/>
      <c r="K17" s="2"/>
      <c r="L17" s="2"/>
      <c r="M17" s="2"/>
      <c r="N17" s="2"/>
      <c r="O17" s="2"/>
      <c r="P17" s="2"/>
      <c r="Q17" s="2"/>
      <c r="R17" s="2"/>
      <c r="S17" s="2"/>
      <c r="T17" s="72"/>
    </row>
    <row r="18" spans="1:20">
      <c r="A18" s="67"/>
      <c r="B18" s="273"/>
      <c r="C18" s="29" t="s">
        <v>17</v>
      </c>
      <c r="D18" s="30">
        <f>+R9</f>
        <v>0</v>
      </c>
      <c r="E18" s="31" t="s">
        <v>2</v>
      </c>
      <c r="F18" s="29" t="s">
        <v>17</v>
      </c>
      <c r="G18" s="30">
        <f>+M16</f>
        <v>0.86399999999999988</v>
      </c>
      <c r="H18" s="31" t="s">
        <v>2</v>
      </c>
      <c r="I18" s="295"/>
      <c r="J18" s="2"/>
      <c r="K18" s="331" t="s">
        <v>37</v>
      </c>
      <c r="L18" s="332"/>
      <c r="M18" s="332"/>
      <c r="N18" s="333"/>
      <c r="O18" s="2"/>
      <c r="P18" s="282" t="s">
        <v>39</v>
      </c>
      <c r="Q18" s="283"/>
      <c r="R18" s="283"/>
      <c r="S18" s="284"/>
      <c r="T18" s="72"/>
    </row>
    <row r="19" spans="1:20">
      <c r="A19" s="67"/>
      <c r="B19" s="273"/>
      <c r="C19" s="29" t="s">
        <v>0</v>
      </c>
      <c r="D19" s="30">
        <f>+R10</f>
        <v>0.72</v>
      </c>
      <c r="E19" s="31" t="s">
        <v>2</v>
      </c>
      <c r="F19" s="29" t="s">
        <v>0</v>
      </c>
      <c r="G19" s="30">
        <f>+R10-M22</f>
        <v>0.21599999999999997</v>
      </c>
      <c r="H19" s="31" t="s">
        <v>2</v>
      </c>
      <c r="I19" s="295"/>
      <c r="J19" s="2"/>
      <c r="K19" s="38" t="s">
        <v>28</v>
      </c>
      <c r="L19" s="39" t="str">
        <f>+L3</f>
        <v>spegesild uden hoved</v>
      </c>
      <c r="M19" s="40">
        <f>+M9-M16</f>
        <v>2.016</v>
      </c>
      <c r="N19" s="41" t="s">
        <v>2</v>
      </c>
      <c r="O19" s="2"/>
      <c r="P19" s="9" t="s">
        <v>17</v>
      </c>
      <c r="Q19" s="29"/>
      <c r="R19" s="30">
        <f>+M16</f>
        <v>0.86399999999999988</v>
      </c>
      <c r="S19" s="149" t="s">
        <v>2</v>
      </c>
      <c r="T19" s="72"/>
    </row>
    <row r="20" spans="1:20" ht="15.75" thickBot="1">
      <c r="A20" s="67"/>
      <c r="B20" s="273"/>
      <c r="C20" s="32" t="s">
        <v>1</v>
      </c>
      <c r="D20" s="33">
        <f>+R12</f>
        <v>0.72</v>
      </c>
      <c r="E20" s="34" t="s">
        <v>2</v>
      </c>
      <c r="F20" s="32" t="s">
        <v>1</v>
      </c>
      <c r="G20" s="33">
        <f>SUM(G18:G19)</f>
        <v>1.0799999999999998</v>
      </c>
      <c r="H20" s="34" t="s">
        <v>2</v>
      </c>
      <c r="I20" s="295"/>
      <c r="J20" s="2"/>
      <c r="K20" s="42" t="s">
        <v>32</v>
      </c>
      <c r="L20" s="43"/>
      <c r="M20" s="12">
        <f>+M15</f>
        <v>1.44</v>
      </c>
      <c r="N20" s="44" t="s">
        <v>2</v>
      </c>
      <c r="O20" s="2"/>
      <c r="P20" s="9" t="s">
        <v>0</v>
      </c>
      <c r="Q20" s="29"/>
      <c r="R20" s="30">
        <f>+R10-M22</f>
        <v>0.21599999999999997</v>
      </c>
      <c r="S20" s="149" t="s">
        <v>2</v>
      </c>
      <c r="T20" s="72"/>
    </row>
    <row r="21" spans="1:20" ht="15.75" thickTop="1">
      <c r="A21" s="67"/>
      <c r="B21" s="273"/>
      <c r="C21" s="29"/>
      <c r="D21" s="29"/>
      <c r="E21" s="29"/>
      <c r="F21" s="29"/>
      <c r="G21" s="29"/>
      <c r="H21" s="29"/>
      <c r="I21" s="295"/>
      <c r="J21" s="2"/>
      <c r="K21" s="42" t="s">
        <v>33</v>
      </c>
      <c r="L21" s="24"/>
      <c r="M21" s="12">
        <f>+M11</f>
        <v>0.57600000000000007</v>
      </c>
      <c r="N21" s="44" t="s">
        <v>2</v>
      </c>
      <c r="O21" s="37"/>
      <c r="P21" s="9"/>
      <c r="Q21" s="29"/>
      <c r="R21" s="30"/>
      <c r="S21" s="10"/>
      <c r="T21" s="72"/>
    </row>
    <row r="22" spans="1:20">
      <c r="A22" s="67"/>
      <c r="B22" s="273"/>
      <c r="C22" s="29" t="s">
        <v>24</v>
      </c>
      <c r="D22" s="63">
        <f>+D20/D19</f>
        <v>1</v>
      </c>
      <c r="E22" s="29"/>
      <c r="F22" s="29"/>
      <c r="G22" s="29" t="s">
        <v>24</v>
      </c>
      <c r="H22" s="63">
        <f>+G19/G20</f>
        <v>0.2</v>
      </c>
      <c r="I22" s="295"/>
      <c r="J22" s="2"/>
      <c r="K22" s="42" t="s">
        <v>21</v>
      </c>
      <c r="L22" s="24">
        <f>IF(P7=0.2,20%,25%)</f>
        <v>0.25</v>
      </c>
      <c r="M22" s="12">
        <f>+L22*M19</f>
        <v>0.504</v>
      </c>
      <c r="N22" s="44" t="s">
        <v>2</v>
      </c>
      <c r="O22" s="37"/>
      <c r="P22" s="9"/>
      <c r="Q22" s="29"/>
      <c r="R22" s="29"/>
      <c r="S22" s="10"/>
      <c r="T22" s="72"/>
    </row>
    <row r="23" spans="1:20" ht="15.75" thickBot="1">
      <c r="A23" s="67"/>
      <c r="B23" s="274"/>
      <c r="C23" s="297" t="str">
        <f>CONCATENATE(Spand!E6,Spand!H6,Spand!D4," med",Spand!AB42,Spand!AD42,Spand!AE42)</f>
        <v xml:space="preserve"> Volumen af sild og lage 4,4 liter med sikkerhedsfaktor på 5 %</v>
      </c>
      <c r="D23" s="297"/>
      <c r="E23" s="297"/>
      <c r="F23" s="297"/>
      <c r="G23" s="297"/>
      <c r="H23" s="297"/>
      <c r="I23" s="296"/>
      <c r="J23" s="2"/>
      <c r="K23" s="45" t="s">
        <v>1</v>
      </c>
      <c r="L23" s="46"/>
      <c r="M23" s="47">
        <f>SUM(M20:M22)</f>
        <v>2.52</v>
      </c>
      <c r="N23" s="48" t="s">
        <v>2</v>
      </c>
      <c r="O23" s="73"/>
      <c r="P23" s="55" t="s">
        <v>1</v>
      </c>
      <c r="Q23" s="56"/>
      <c r="R23" s="57">
        <f>SUM(R19:R22)</f>
        <v>1.0799999999999998</v>
      </c>
      <c r="S23" s="58" t="s">
        <v>2</v>
      </c>
      <c r="T23" s="72"/>
    </row>
    <row r="24" spans="1:20">
      <c r="A24" s="67"/>
      <c r="B24" s="2"/>
      <c r="C24" s="2"/>
      <c r="D24" s="2"/>
      <c r="E24" s="2"/>
      <c r="F24" s="2"/>
      <c r="G24" s="2"/>
      <c r="H24" s="2"/>
      <c r="I24" s="2"/>
      <c r="J24" s="2"/>
      <c r="K24" s="37"/>
      <c r="L24" s="74"/>
      <c r="M24" s="74"/>
      <c r="N24" s="74"/>
      <c r="O24" s="37"/>
      <c r="P24" s="2"/>
      <c r="Q24" s="2"/>
      <c r="R24" s="2"/>
      <c r="S24" s="2"/>
      <c r="T24" s="72"/>
    </row>
    <row r="25" spans="1:20">
      <c r="A25" s="6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7"/>
      <c r="P25" s="37"/>
      <c r="Q25" s="37"/>
      <c r="R25" s="37"/>
      <c r="S25" s="2"/>
      <c r="T25" s="72"/>
    </row>
    <row r="26" spans="1:20">
      <c r="A26" s="67"/>
      <c r="B26" s="339" t="s">
        <v>19</v>
      </c>
      <c r="C26" s="339"/>
      <c r="D26" s="37">
        <f>ROUND((D14+D20),2)</f>
        <v>3.6</v>
      </c>
      <c r="E26" s="2" t="s">
        <v>13</v>
      </c>
      <c r="F26" s="285" t="s">
        <v>20</v>
      </c>
      <c r="G26" s="285"/>
      <c r="H26" s="37">
        <f>ROUND((G14+G20),2)</f>
        <v>3.6</v>
      </c>
      <c r="I26" s="2" t="s">
        <v>13</v>
      </c>
      <c r="J26" s="37"/>
      <c r="K26" s="73">
        <f>+D26-H26</f>
        <v>0</v>
      </c>
      <c r="L26" s="285" t="str">
        <f>IF(K26=0,"Osmose har opnået ligevægt","Der er ikke ligevægt")</f>
        <v>Osmose har opnået ligevægt</v>
      </c>
      <c r="M26" s="285"/>
      <c r="N26" s="285"/>
      <c r="O26" s="285"/>
      <c r="P26" s="212" t="s">
        <v>45</v>
      </c>
      <c r="Q26" s="2"/>
      <c r="R26" s="2"/>
      <c r="S26" s="2"/>
      <c r="T26" s="72"/>
    </row>
    <row r="27" spans="1:20">
      <c r="A27" s="67"/>
      <c r="B27" s="2" t="s">
        <v>46</v>
      </c>
      <c r="C27" s="2"/>
      <c r="D27" s="2"/>
      <c r="E27" s="2"/>
      <c r="F27" s="2"/>
      <c r="G27" s="2"/>
      <c r="H27" s="2"/>
      <c r="I27" s="2"/>
      <c r="J27" s="2"/>
      <c r="K27" s="73" t="str">
        <f>CONCATENATE(D26,E26)</f>
        <v>3,6 kg</v>
      </c>
      <c r="L27" s="66" t="s">
        <v>42</v>
      </c>
      <c r="M27" s="212" t="str">
        <f>+L3</f>
        <v>spegesild uden hoved</v>
      </c>
      <c r="N27" s="212"/>
      <c r="O27" s="245"/>
      <c r="P27" s="212"/>
      <c r="Q27" s="212"/>
      <c r="R27" s="212"/>
      <c r="S27" s="2"/>
      <c r="T27" s="72"/>
    </row>
    <row r="28" spans="1:20">
      <c r="A28" s="67"/>
      <c r="B28" s="2" t="s">
        <v>50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72"/>
    </row>
    <row r="29" spans="1:20">
      <c r="A29" s="67"/>
      <c r="B29" s="2" t="s">
        <v>51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72"/>
    </row>
    <row r="30" spans="1:20">
      <c r="A30" s="67"/>
      <c r="B30" s="187" t="s">
        <v>194</v>
      </c>
      <c r="C30" s="2"/>
      <c r="D30" s="216">
        <f>+P7</f>
        <v>0.25</v>
      </c>
      <c r="E30" s="285" t="s">
        <v>195</v>
      </c>
      <c r="F30" s="285"/>
      <c r="G30" s="65">
        <f>+M22/M23</f>
        <v>0.2</v>
      </c>
      <c r="H30" s="285" t="s">
        <v>52</v>
      </c>
      <c r="I30" s="285"/>
      <c r="J30" s="285"/>
      <c r="K30" s="285"/>
      <c r="L30" s="65">
        <f>+M22/M19</f>
        <v>0.25</v>
      </c>
      <c r="M30" s="285" t="s">
        <v>53</v>
      </c>
      <c r="N30" s="285"/>
      <c r="O30" s="285"/>
      <c r="P30" s="285"/>
      <c r="Q30" s="2"/>
      <c r="R30" s="2"/>
      <c r="S30" s="2"/>
      <c r="T30" s="72"/>
    </row>
    <row r="31" spans="1:20">
      <c r="A31" s="67"/>
      <c r="B31" s="2" t="s">
        <v>196</v>
      </c>
      <c r="C31" s="2"/>
      <c r="D31" s="2"/>
      <c r="E31" s="2"/>
      <c r="F31" s="2"/>
      <c r="G31" s="65"/>
      <c r="H31" s="186"/>
      <c r="I31" s="186"/>
      <c r="J31" s="217">
        <f>+Spand!C13</f>
        <v>250</v>
      </c>
      <c r="K31" s="187" t="s">
        <v>197</v>
      </c>
      <c r="L31" s="65"/>
      <c r="M31" s="186"/>
      <c r="N31" s="186"/>
      <c r="O31" s="186"/>
      <c r="P31" s="186"/>
      <c r="Q31" s="2"/>
      <c r="R31" s="2"/>
      <c r="S31" s="2"/>
      <c r="T31" s="72"/>
    </row>
    <row r="32" spans="1:20">
      <c r="A32" s="67"/>
      <c r="B32" s="2" t="s">
        <v>235</v>
      </c>
      <c r="C32" s="2"/>
      <c r="D32" s="2"/>
      <c r="E32" s="2"/>
      <c r="F32" s="2"/>
      <c r="G32" s="65"/>
      <c r="H32" s="186"/>
      <c r="I32" s="186"/>
      <c r="J32" s="186"/>
      <c r="K32" s="186"/>
      <c r="L32" s="65"/>
      <c r="M32" s="186"/>
      <c r="N32" s="186"/>
      <c r="O32" s="186"/>
      <c r="P32" s="186"/>
      <c r="Q32" s="2"/>
      <c r="R32" s="2"/>
      <c r="S32" s="2"/>
      <c r="T32" s="72"/>
    </row>
    <row r="33" spans="1:22" ht="15.75" thickBot="1">
      <c r="A33" s="6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72"/>
    </row>
    <row r="34" spans="1:22">
      <c r="A34" s="67"/>
      <c r="B34" s="286" t="s">
        <v>48</v>
      </c>
      <c r="C34" s="287"/>
      <c r="D34" s="287"/>
      <c r="E34" s="287"/>
      <c r="F34" s="287"/>
      <c r="G34" s="287"/>
      <c r="H34" s="288"/>
      <c r="I34" s="2"/>
      <c r="J34" s="218"/>
      <c r="K34" s="298" t="s">
        <v>234</v>
      </c>
      <c r="L34" s="74"/>
      <c r="M34" s="2"/>
      <c r="N34" s="2"/>
      <c r="O34" s="2"/>
      <c r="P34" s="2"/>
      <c r="Q34" s="2"/>
      <c r="R34" s="2"/>
      <c r="S34" s="2"/>
      <c r="T34" s="72"/>
    </row>
    <row r="35" spans="1:22" ht="15.75" thickBot="1">
      <c r="A35" s="67"/>
      <c r="B35" s="289"/>
      <c r="C35" s="290"/>
      <c r="D35" s="290"/>
      <c r="E35" s="290"/>
      <c r="F35" s="290"/>
      <c r="G35" s="290"/>
      <c r="H35" s="291"/>
      <c r="I35" s="2"/>
      <c r="J35" s="2"/>
      <c r="K35" s="299"/>
      <c r="L35" s="318" t="s">
        <v>56</v>
      </c>
      <c r="M35" s="318"/>
      <c r="N35" s="318"/>
      <c r="O35" s="318"/>
      <c r="P35" s="318"/>
      <c r="Q35" s="318"/>
      <c r="R35" s="318"/>
      <c r="S35" s="318"/>
      <c r="T35" s="319"/>
      <c r="U35" s="3"/>
      <c r="V35" s="3"/>
    </row>
    <row r="36" spans="1:22" ht="16.5" thickBot="1">
      <c r="A36" s="67"/>
      <c r="B36" s="77" t="s">
        <v>5</v>
      </c>
      <c r="C36" s="327" t="s">
        <v>4</v>
      </c>
      <c r="D36" s="327"/>
      <c r="E36" s="145" t="s">
        <v>6</v>
      </c>
      <c r="F36" s="78" t="s">
        <v>2</v>
      </c>
      <c r="G36" s="78" t="s">
        <v>7</v>
      </c>
      <c r="H36" s="79" t="s">
        <v>8</v>
      </c>
      <c r="I36" s="64"/>
      <c r="J36" s="2"/>
      <c r="K36" s="167" t="s">
        <v>49</v>
      </c>
      <c r="L36" s="376"/>
      <c r="M36" s="375"/>
      <c r="N36" s="375"/>
      <c r="O36" s="375"/>
      <c r="P36" s="375"/>
      <c r="Q36" s="375"/>
      <c r="R36" s="375"/>
      <c r="S36" s="375"/>
      <c r="T36" s="377"/>
      <c r="U36" s="60"/>
      <c r="V36" s="3"/>
    </row>
    <row r="37" spans="1:22" ht="15.75">
      <c r="A37" s="67"/>
      <c r="B37" s="188">
        <v>20</v>
      </c>
      <c r="C37" s="292" t="s">
        <v>14</v>
      </c>
      <c r="D37" s="292"/>
      <c r="E37" s="190">
        <v>3.6</v>
      </c>
      <c r="F37" s="164" t="s">
        <v>2</v>
      </c>
      <c r="G37" s="169">
        <f>(E37/B37)*1000</f>
        <v>180</v>
      </c>
      <c r="H37" s="80" t="s">
        <v>3</v>
      </c>
      <c r="I37" s="144"/>
      <c r="J37" s="2"/>
      <c r="K37" s="214" t="s">
        <v>15</v>
      </c>
      <c r="L37" s="320" t="s">
        <v>57</v>
      </c>
      <c r="M37" s="320"/>
      <c r="N37" s="320"/>
      <c r="O37" s="320"/>
      <c r="P37" s="320"/>
      <c r="Q37" s="320"/>
      <c r="R37" s="320"/>
      <c r="S37" s="320"/>
      <c r="T37" s="321"/>
      <c r="U37" s="5"/>
      <c r="V37" s="3"/>
    </row>
    <row r="38" spans="1:22" ht="19.5" thickBot="1">
      <c r="A38" s="67"/>
      <c r="B38" s="189">
        <f>+B37</f>
        <v>20</v>
      </c>
      <c r="C38" s="292" t="s">
        <v>15</v>
      </c>
      <c r="D38" s="292"/>
      <c r="E38" s="191">
        <f>E37-E39</f>
        <v>2.88</v>
      </c>
      <c r="F38" s="164" t="s">
        <v>2</v>
      </c>
      <c r="G38" s="169">
        <f>(E38/B38)*1000</f>
        <v>144</v>
      </c>
      <c r="H38" s="80" t="s">
        <v>3</v>
      </c>
      <c r="I38" s="144"/>
      <c r="J38" s="2"/>
      <c r="K38" s="166">
        <f>VLOOKUP(K37,C37:E38,3)</f>
        <v>2.88</v>
      </c>
      <c r="L38" s="322" t="s">
        <v>58</v>
      </c>
      <c r="M38" s="322"/>
      <c r="N38" s="322"/>
      <c r="O38" s="322"/>
      <c r="P38" s="322"/>
      <c r="Q38" s="322"/>
      <c r="R38" s="322"/>
      <c r="S38" s="322"/>
      <c r="T38" s="323"/>
      <c r="U38" s="4"/>
      <c r="V38" s="3"/>
    </row>
    <row r="39" spans="1:22">
      <c r="A39" s="67"/>
      <c r="B39" s="171">
        <f>+B37</f>
        <v>20</v>
      </c>
      <c r="C39" s="293" t="s">
        <v>47</v>
      </c>
      <c r="D39" s="294"/>
      <c r="E39" s="165">
        <f>ROUND((E37*H39),3)</f>
        <v>0.72</v>
      </c>
      <c r="F39" s="164" t="s">
        <v>2</v>
      </c>
      <c r="G39" s="169" t="s">
        <v>12</v>
      </c>
      <c r="H39" s="213">
        <v>0.2</v>
      </c>
      <c r="I39" s="65"/>
      <c r="J39" s="2"/>
      <c r="K39" s="214" t="s">
        <v>228</v>
      </c>
      <c r="L39" s="2"/>
      <c r="M39" s="2"/>
      <c r="N39" s="144"/>
      <c r="O39" s="144"/>
      <c r="P39" s="144"/>
      <c r="Q39" s="144"/>
      <c r="R39" s="144"/>
      <c r="S39" s="144"/>
      <c r="T39" s="75"/>
      <c r="U39" s="4"/>
      <c r="V39" s="3"/>
    </row>
    <row r="40" spans="1:22" ht="15.75" thickBot="1">
      <c r="A40" s="67"/>
      <c r="B40" s="275" t="str">
        <f>CONCATENATE(K39,K37)</f>
        <v>spegesild uden hoved</v>
      </c>
      <c r="C40" s="276"/>
      <c r="D40" s="276"/>
      <c r="E40" s="169">
        <f>+P7*K38*1000</f>
        <v>720</v>
      </c>
      <c r="F40" s="164" t="s">
        <v>3</v>
      </c>
      <c r="G40" s="300" t="s">
        <v>0</v>
      </c>
      <c r="H40" s="301"/>
      <c r="I40" s="65"/>
      <c r="J40" s="2"/>
      <c r="K40" s="174">
        <f>VLOOKUP(K39,P15:R16,3)</f>
        <v>10</v>
      </c>
      <c r="L40" s="2"/>
      <c r="M40" s="2"/>
      <c r="N40" s="144"/>
      <c r="O40" s="144"/>
      <c r="P40" s="144"/>
      <c r="Q40" s="144"/>
      <c r="R40" s="144"/>
      <c r="S40" s="144"/>
      <c r="T40" s="75"/>
      <c r="U40" s="4"/>
      <c r="V40" s="3"/>
    </row>
    <row r="41" spans="1:22" ht="15.75" thickBot="1">
      <c r="A41" s="67"/>
      <c r="B41" s="277" t="str">
        <f>CONCATENATE(K39,K37)</f>
        <v>spegesild uden hoved</v>
      </c>
      <c r="C41" s="278"/>
      <c r="D41" s="278"/>
      <c r="E41" s="173">
        <f>+K40*K38</f>
        <v>28.799999999999997</v>
      </c>
      <c r="F41" s="172" t="s">
        <v>3</v>
      </c>
      <c r="G41" s="302" t="s">
        <v>142</v>
      </c>
      <c r="H41" s="303"/>
      <c r="I41" s="65"/>
      <c r="J41" s="2"/>
      <c r="K41" s="168"/>
      <c r="L41" s="2"/>
      <c r="M41" s="2"/>
      <c r="N41" s="144"/>
      <c r="O41" s="144"/>
      <c r="P41" s="144"/>
      <c r="Q41" s="144"/>
      <c r="R41" s="144"/>
      <c r="S41" s="144"/>
      <c r="T41" s="75"/>
      <c r="U41" s="4"/>
      <c r="V41" s="3"/>
    </row>
    <row r="42" spans="1:22">
      <c r="A42" s="67"/>
      <c r="B42" s="170"/>
      <c r="C42" s="170"/>
      <c r="D42" s="170"/>
      <c r="E42" s="170"/>
      <c r="F42" s="170"/>
      <c r="G42" s="170"/>
      <c r="H42" s="170"/>
      <c r="I42" s="65"/>
      <c r="J42" s="2"/>
      <c r="K42" s="168"/>
      <c r="L42" s="2"/>
      <c r="M42" s="2"/>
      <c r="N42" s="144"/>
      <c r="O42" s="144"/>
      <c r="P42" s="144"/>
      <c r="Q42" s="144"/>
      <c r="R42" s="144"/>
      <c r="S42" s="144"/>
      <c r="T42" s="75"/>
      <c r="U42" s="4"/>
      <c r="V42" s="3"/>
    </row>
    <row r="43" spans="1:22">
      <c r="A43" s="67"/>
      <c r="B43" s="378" t="s">
        <v>240</v>
      </c>
      <c r="C43" s="379"/>
      <c r="D43" s="379"/>
      <c r="E43" s="379"/>
      <c r="F43" s="379"/>
      <c r="G43" s="379"/>
      <c r="H43" s="38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72"/>
      <c r="U43" s="3"/>
      <c r="V43" s="3"/>
    </row>
    <row r="44" spans="1:22" ht="15.75" thickBot="1">
      <c r="A44" s="61"/>
      <c r="B44" s="76" t="s">
        <v>55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316" t="s">
        <v>54</v>
      </c>
      <c r="T44" s="317"/>
    </row>
  </sheetData>
  <mergeCells count="44">
    <mergeCell ref="B43:H43"/>
    <mergeCell ref="A1:T1"/>
    <mergeCell ref="H30:K30"/>
    <mergeCell ref="M30:P30"/>
    <mergeCell ref="C36:D36"/>
    <mergeCell ref="K8:N8"/>
    <mergeCell ref="K18:N18"/>
    <mergeCell ref="P14:S14"/>
    <mergeCell ref="Q7:S7"/>
    <mergeCell ref="B5:E5"/>
    <mergeCell ref="K16:L16"/>
    <mergeCell ref="E4:F4"/>
    <mergeCell ref="B3:I3"/>
    <mergeCell ref="F5:I5"/>
    <mergeCell ref="B26:C26"/>
    <mergeCell ref="F26:G26"/>
    <mergeCell ref="E6:F6"/>
    <mergeCell ref="S44:T44"/>
    <mergeCell ref="L35:T35"/>
    <mergeCell ref="L37:T37"/>
    <mergeCell ref="L38:T38"/>
    <mergeCell ref="G41:H41"/>
    <mergeCell ref="B7:I8"/>
    <mergeCell ref="K7:N7"/>
    <mergeCell ref="C10:E10"/>
    <mergeCell ref="F10:H10"/>
    <mergeCell ref="B9:E9"/>
    <mergeCell ref="F9:I9"/>
    <mergeCell ref="P6:R6"/>
    <mergeCell ref="B10:B23"/>
    <mergeCell ref="B40:D40"/>
    <mergeCell ref="B41:D41"/>
    <mergeCell ref="P8:S8"/>
    <mergeCell ref="P18:S18"/>
    <mergeCell ref="L26:O26"/>
    <mergeCell ref="B34:H35"/>
    <mergeCell ref="C37:D37"/>
    <mergeCell ref="C38:D38"/>
    <mergeCell ref="C39:D39"/>
    <mergeCell ref="E30:F30"/>
    <mergeCell ref="I10:I23"/>
    <mergeCell ref="C23:H23"/>
    <mergeCell ref="K34:K35"/>
    <mergeCell ref="G40:H40"/>
  </mergeCells>
  <dataValidations count="4">
    <dataValidation type="list" allowBlank="1" showInputMessage="1" showErrorMessage="1" sqref="K37">
      <formula1>$C$37:$C$38</formula1>
    </dataValidation>
    <dataValidation type="list" allowBlank="1" showInputMessage="1" showErrorMessage="1" sqref="K39">
      <formula1>$P$15:$P$16</formula1>
    </dataValidation>
    <dataValidation type="whole" allowBlank="1" showInputMessage="1" showErrorMessage="1" errorTitle="Sild" error="Antal mellem 1 og 100" promptTitle="Sild" prompt="Antal mellem 1 og 100" sqref="B37">
      <formula1>1</formula1>
      <formula2>100</formula2>
    </dataValidation>
    <dataValidation type="list" allowBlank="1" showInputMessage="1" showErrorMessage="1" errorTitle="Salt per kg sild" error="Du har valgt forkert_x000a_mængde salt" promptTitle="Salt per kg sild" prompt="Vælg salt mængden" sqref="P7">
      <formula1>Spand!$AJ$20:$AJ$21</formula1>
    </dataValidation>
  </dataValidations>
  <hyperlinks>
    <hyperlink ref="L37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60"/>
  <sheetViews>
    <sheetView zoomScale="90" zoomScaleNormal="90" workbookViewId="0">
      <selection sqref="A1:I1"/>
    </sheetView>
  </sheetViews>
  <sheetFormatPr defaultColWidth="8.85546875" defaultRowHeight="15"/>
  <cols>
    <col min="1" max="1" width="10.7109375" style="1" customWidth="1"/>
    <col min="2" max="2" width="50.85546875" style="1" customWidth="1"/>
    <col min="3" max="4" width="23.7109375" style="1" customWidth="1"/>
    <col min="5" max="5" width="10.85546875" style="1" customWidth="1"/>
    <col min="6" max="6" width="33.7109375" style="1" customWidth="1"/>
    <col min="7" max="7" width="10.7109375" style="1" customWidth="1"/>
    <col min="8" max="9" width="20.7109375" style="1" customWidth="1"/>
    <col min="10" max="16384" width="8.85546875" style="1"/>
  </cols>
  <sheetData>
    <row r="1" spans="1:25" ht="21.6" customHeight="1">
      <c r="A1" s="345" t="s">
        <v>188</v>
      </c>
      <c r="B1" s="346"/>
      <c r="C1" s="346"/>
      <c r="D1" s="346"/>
      <c r="E1" s="346"/>
      <c r="F1" s="346"/>
      <c r="G1" s="346"/>
      <c r="H1" s="346"/>
      <c r="I1" s="347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3"/>
      <c r="Y1" s="194"/>
    </row>
    <row r="2" spans="1:25" ht="16.899999999999999" customHeight="1">
      <c r="A2" s="82"/>
      <c r="B2" s="108" t="s">
        <v>59</v>
      </c>
      <c r="C2" s="83" t="s">
        <v>60</v>
      </c>
      <c r="D2" s="83" t="s">
        <v>61</v>
      </c>
      <c r="E2" s="83"/>
      <c r="F2" s="83"/>
      <c r="G2" s="83"/>
      <c r="H2" s="348" t="s">
        <v>62</v>
      </c>
      <c r="I2" s="349"/>
    </row>
    <row r="3" spans="1:25" ht="16.899999999999999" customHeight="1">
      <c r="A3" s="82"/>
      <c r="B3" s="84" t="s">
        <v>63</v>
      </c>
      <c r="C3" s="350" t="s">
        <v>107</v>
      </c>
      <c r="D3" s="351"/>
      <c r="E3" s="85"/>
      <c r="F3" s="86" t="s">
        <v>64</v>
      </c>
      <c r="G3" s="83"/>
      <c r="H3" s="348" t="s">
        <v>65</v>
      </c>
      <c r="I3" s="349"/>
    </row>
    <row r="4" spans="1:25" ht="16.899999999999999" customHeight="1">
      <c r="A4" s="82"/>
      <c r="B4" s="81">
        <v>4</v>
      </c>
      <c r="C4" s="107">
        <v>1000</v>
      </c>
      <c r="D4" s="107">
        <v>250</v>
      </c>
      <c r="E4" s="85"/>
      <c r="F4" s="87">
        <f>+C4+D4</f>
        <v>1250</v>
      </c>
      <c r="G4" s="88"/>
      <c r="H4" s="83" t="s">
        <v>66</v>
      </c>
      <c r="I4" s="89" t="s">
        <v>67</v>
      </c>
    </row>
    <row r="5" spans="1:25" ht="16.899999999999999" customHeight="1">
      <c r="A5" s="82"/>
      <c r="B5" s="110" t="s">
        <v>68</v>
      </c>
      <c r="C5" s="352" t="s">
        <v>69</v>
      </c>
      <c r="D5" s="352"/>
      <c r="E5" s="88"/>
      <c r="F5" s="88"/>
      <c r="G5" s="88"/>
      <c r="H5" s="88">
        <v>145</v>
      </c>
      <c r="I5" s="89" t="s">
        <v>70</v>
      </c>
    </row>
    <row r="6" spans="1:25" ht="16.899999999999999" customHeight="1">
      <c r="A6" s="82"/>
      <c r="B6" s="110" t="s">
        <v>71</v>
      </c>
      <c r="C6" s="109" t="s">
        <v>72</v>
      </c>
      <c r="D6" s="109" t="s">
        <v>0</v>
      </c>
      <c r="E6" s="83"/>
      <c r="F6" s="86" t="s">
        <v>73</v>
      </c>
      <c r="G6" s="88"/>
      <c r="H6" s="348" t="s">
        <v>74</v>
      </c>
      <c r="I6" s="349"/>
    </row>
    <row r="7" spans="1:25" ht="16.899999999999999" customHeight="1">
      <c r="A7" s="82"/>
      <c r="B7" s="110" t="s">
        <v>75</v>
      </c>
      <c r="C7" s="109">
        <f>+C4/A35</f>
        <v>1000</v>
      </c>
      <c r="D7" s="109">
        <f>+D4/H7</f>
        <v>115.47344110854503</v>
      </c>
      <c r="E7" s="88"/>
      <c r="F7" s="87">
        <f>+C7+D7</f>
        <v>1115.4734411085451</v>
      </c>
      <c r="G7" s="88"/>
      <c r="H7" s="90">
        <v>2.165</v>
      </c>
      <c r="I7" s="89" t="s">
        <v>76</v>
      </c>
    </row>
    <row r="8" spans="1:25" ht="16.899999999999999" customHeight="1">
      <c r="A8" s="82"/>
      <c r="B8" s="110" t="s">
        <v>77</v>
      </c>
      <c r="C8" s="2"/>
      <c r="D8" s="93"/>
      <c r="E8" s="88"/>
      <c r="F8" s="88"/>
      <c r="G8" s="88"/>
      <c r="H8" s="91"/>
      <c r="I8" s="89"/>
    </row>
    <row r="9" spans="1:25" ht="16.899999999999999" customHeight="1">
      <c r="A9" s="82"/>
      <c r="B9" s="110" t="s">
        <v>78</v>
      </c>
      <c r="C9" s="2"/>
      <c r="D9" s="111" t="s">
        <v>79</v>
      </c>
      <c r="E9" s="93"/>
      <c r="F9" s="110" t="s">
        <v>80</v>
      </c>
      <c r="G9" s="91"/>
      <c r="H9" s="121">
        <f>+D4/F4</f>
        <v>0.2</v>
      </c>
      <c r="I9" s="97" t="s">
        <v>81</v>
      </c>
    </row>
    <row r="10" spans="1:25" ht="16.899999999999999" customHeight="1">
      <c r="A10" s="82"/>
      <c r="B10" s="110" t="s">
        <v>82</v>
      </c>
      <c r="C10" s="2"/>
      <c r="D10" s="111" t="s">
        <v>83</v>
      </c>
      <c r="E10" s="93"/>
      <c r="F10" s="110" t="s">
        <v>84</v>
      </c>
      <c r="G10" s="91"/>
      <c r="H10" s="95">
        <f>+F4/F7</f>
        <v>1.1206004140786749</v>
      </c>
      <c r="I10" s="94" t="s">
        <v>85</v>
      </c>
    </row>
    <row r="11" spans="1:25" ht="16.899999999999999" customHeight="1">
      <c r="A11" s="82"/>
      <c r="B11" s="110" t="s">
        <v>86</v>
      </c>
      <c r="C11" s="2"/>
      <c r="D11" s="111" t="s">
        <v>108</v>
      </c>
      <c r="E11" s="93"/>
      <c r="F11" s="110" t="s">
        <v>87</v>
      </c>
      <c r="G11" s="83"/>
      <c r="H11" s="96">
        <f>+H5-(H5/H10)</f>
        <v>15.60508083140877</v>
      </c>
      <c r="I11" s="97" t="s">
        <v>88</v>
      </c>
    </row>
    <row r="12" spans="1:25" ht="16.899999999999999" customHeight="1">
      <c r="A12" s="82"/>
      <c r="B12" s="341" t="str">
        <f>IF(H9&gt;A36,"You have used too much salt. No more salt can be dissolved in the indicated amount of water at this temperature","")</f>
        <v/>
      </c>
      <c r="C12" s="341"/>
      <c r="D12" s="341"/>
      <c r="E12" s="341"/>
      <c r="F12" s="341"/>
      <c r="G12" s="92"/>
      <c r="H12" s="342" t="s">
        <v>89</v>
      </c>
      <c r="I12" s="343"/>
    </row>
    <row r="13" spans="1:25" ht="16.899999999999999" customHeight="1">
      <c r="A13" s="82"/>
      <c r="B13" s="341"/>
      <c r="C13" s="341"/>
      <c r="D13" s="341"/>
      <c r="E13" s="341"/>
      <c r="F13" s="341"/>
      <c r="G13" s="92"/>
      <c r="H13" s="342" t="s">
        <v>90</v>
      </c>
      <c r="I13" s="343"/>
    </row>
    <row r="14" spans="1:25" ht="16.899999999999999" customHeight="1">
      <c r="A14" s="82"/>
      <c r="B14" s="110" t="s">
        <v>91</v>
      </c>
      <c r="C14" s="91"/>
      <c r="D14" s="92"/>
      <c r="E14" s="92"/>
      <c r="F14" s="110" t="s">
        <v>92</v>
      </c>
      <c r="G14" s="92"/>
      <c r="H14" s="83" t="s">
        <v>88</v>
      </c>
      <c r="I14" s="94" t="s">
        <v>85</v>
      </c>
    </row>
    <row r="15" spans="1:25" ht="16.899999999999999" customHeight="1">
      <c r="A15" s="82"/>
      <c r="B15" s="91"/>
      <c r="C15" s="91"/>
      <c r="D15" s="91"/>
      <c r="E15" s="91"/>
      <c r="F15" s="91"/>
      <c r="G15" s="91"/>
      <c r="H15" s="83">
        <v>0</v>
      </c>
      <c r="I15" s="98">
        <v>1</v>
      </c>
    </row>
    <row r="16" spans="1:25" ht="16.899999999999999" customHeight="1">
      <c r="A16" s="82"/>
      <c r="B16" s="110" t="s">
        <v>93</v>
      </c>
      <c r="C16" s="91"/>
      <c r="D16" s="92"/>
      <c r="E16" s="92"/>
      <c r="F16" s="110" t="s">
        <v>94</v>
      </c>
      <c r="G16" s="92"/>
      <c r="H16" s="83">
        <v>10</v>
      </c>
      <c r="I16" s="98">
        <v>1.0740000000000001</v>
      </c>
    </row>
    <row r="17" spans="1:9" ht="16.899999999999999" customHeight="1">
      <c r="A17" s="82"/>
      <c r="B17" s="91"/>
      <c r="C17" s="91"/>
      <c r="D17" s="83"/>
      <c r="E17" s="83"/>
      <c r="F17" s="91"/>
      <c r="G17" s="83"/>
      <c r="H17" s="83">
        <v>20</v>
      </c>
      <c r="I17" s="98">
        <v>1.1599999999999999</v>
      </c>
    </row>
    <row r="18" spans="1:9" ht="16.899999999999999" customHeight="1">
      <c r="A18" s="82"/>
      <c r="B18" s="110" t="s">
        <v>95</v>
      </c>
      <c r="C18" s="91"/>
      <c r="D18" s="92"/>
      <c r="E18" s="92"/>
      <c r="F18" s="110" t="s">
        <v>96</v>
      </c>
      <c r="G18" s="92"/>
      <c r="H18" s="88">
        <v>30</v>
      </c>
      <c r="I18" s="98">
        <v>1.2609999999999999</v>
      </c>
    </row>
    <row r="19" spans="1:9" ht="16.899999999999999" customHeight="1">
      <c r="A19" s="82"/>
      <c r="B19" s="83"/>
      <c r="C19" s="91"/>
      <c r="D19" s="83"/>
      <c r="E19" s="83"/>
      <c r="F19" s="91"/>
      <c r="G19" s="83"/>
      <c r="H19" s="83">
        <v>40</v>
      </c>
      <c r="I19" s="98">
        <v>1.381</v>
      </c>
    </row>
    <row r="20" spans="1:9" ht="16.899999999999999" customHeight="1">
      <c r="A20" s="82"/>
      <c r="B20" s="92" t="str">
        <f>CONCATENATE(B34,C34,D34,E34,G34,H34)</f>
        <v>The mixture gives 1,12 liter with 15,6 °Baumé</v>
      </c>
      <c r="C20" s="91"/>
      <c r="D20" s="92"/>
      <c r="E20" s="92"/>
      <c r="F20" s="110" t="s">
        <v>97</v>
      </c>
      <c r="G20" s="92"/>
      <c r="H20" s="83">
        <v>50</v>
      </c>
      <c r="I20" s="98">
        <v>1.526</v>
      </c>
    </row>
    <row r="21" spans="1:9" ht="16.899999999999999" customHeight="1">
      <c r="A21" s="99"/>
      <c r="B21" s="83"/>
      <c r="C21" s="91"/>
      <c r="D21" s="83"/>
      <c r="E21" s="83"/>
      <c r="F21" s="91"/>
      <c r="G21" s="83"/>
      <c r="H21" s="83">
        <v>60</v>
      </c>
      <c r="I21" s="98">
        <v>1.706</v>
      </c>
    </row>
    <row r="22" spans="1:9" ht="16.899999999999999" customHeight="1">
      <c r="A22" s="82"/>
      <c r="B22" s="110" t="s">
        <v>98</v>
      </c>
      <c r="C22" s="91"/>
      <c r="D22" s="92"/>
      <c r="E22" s="92"/>
      <c r="F22" s="110" t="s">
        <v>99</v>
      </c>
      <c r="G22" s="92"/>
      <c r="H22" s="83">
        <v>70</v>
      </c>
      <c r="I22" s="98">
        <v>1.9330000000000001</v>
      </c>
    </row>
    <row r="23" spans="1:9" ht="16.899999999999999" customHeight="1">
      <c r="A23" s="82"/>
      <c r="B23" s="91"/>
      <c r="C23" s="91"/>
      <c r="D23" s="83"/>
      <c r="E23" s="83"/>
      <c r="F23" s="91"/>
      <c r="G23" s="83"/>
      <c r="H23" s="100"/>
      <c r="I23" s="101"/>
    </row>
    <row r="24" spans="1:9" ht="16.899999999999999" customHeight="1">
      <c r="A24" s="82"/>
      <c r="B24" s="110" t="s">
        <v>100</v>
      </c>
      <c r="C24" s="91"/>
      <c r="D24" s="92"/>
      <c r="E24" s="92"/>
      <c r="F24" s="110" t="s">
        <v>101</v>
      </c>
      <c r="G24" s="92"/>
      <c r="H24" s="92"/>
      <c r="I24" s="102"/>
    </row>
    <row r="25" spans="1:9" ht="16.899999999999999" customHeight="1" thickBot="1">
      <c r="A25" s="103"/>
      <c r="B25" s="104"/>
      <c r="C25" s="104"/>
      <c r="D25" s="104"/>
      <c r="E25" s="104"/>
      <c r="F25" s="104"/>
      <c r="G25" s="104"/>
      <c r="H25" s="104"/>
      <c r="I25" s="105"/>
    </row>
    <row r="26" spans="1:9" ht="16.899999999999999" customHeight="1">
      <c r="A26" s="122">
        <v>4</v>
      </c>
      <c r="B26" s="123">
        <v>1</v>
      </c>
      <c r="C26" s="124">
        <v>0.26350000000000001</v>
      </c>
      <c r="D26" s="125">
        <v>20.53</v>
      </c>
      <c r="E26" s="126"/>
      <c r="F26" s="126"/>
      <c r="G26" s="126"/>
      <c r="H26" s="126"/>
      <c r="I26" s="127"/>
    </row>
    <row r="27" spans="1:9" ht="16.899999999999999" customHeight="1">
      <c r="A27" s="106">
        <v>16</v>
      </c>
      <c r="B27" s="112">
        <v>0.99894300000000003</v>
      </c>
      <c r="C27" s="128">
        <v>0.26450000000000001</v>
      </c>
      <c r="D27" s="129">
        <v>20.49</v>
      </c>
      <c r="E27" s="115"/>
      <c r="F27" s="115"/>
      <c r="G27" s="115"/>
      <c r="H27" s="115"/>
      <c r="I27" s="130"/>
    </row>
    <row r="28" spans="1:9" ht="16.899999999999999" customHeight="1">
      <c r="A28" s="106">
        <v>20</v>
      </c>
      <c r="B28" s="112">
        <v>0.99820500000000001</v>
      </c>
      <c r="C28" s="128">
        <v>0.26500000000000001</v>
      </c>
      <c r="D28" s="129">
        <v>20.46</v>
      </c>
      <c r="E28" s="115"/>
      <c r="F28" s="115"/>
      <c r="G28" s="115"/>
      <c r="H28" s="113"/>
      <c r="I28" s="130"/>
    </row>
    <row r="29" spans="1:9" ht="16.899999999999999" customHeight="1">
      <c r="A29" s="106">
        <v>25</v>
      </c>
      <c r="B29" s="112">
        <v>0.99704700000000002</v>
      </c>
      <c r="C29" s="128">
        <v>0.26600000000000001</v>
      </c>
      <c r="D29" s="129">
        <v>20.399999999999999</v>
      </c>
      <c r="E29" s="115"/>
      <c r="F29" s="115"/>
      <c r="G29" s="115"/>
      <c r="H29" s="115"/>
      <c r="I29" s="130"/>
    </row>
    <row r="30" spans="1:9" ht="16.899999999999999" customHeight="1">
      <c r="A30" s="106">
        <v>40</v>
      </c>
      <c r="B30" s="112">
        <v>0.99223099999999997</v>
      </c>
      <c r="C30" s="128">
        <v>0.26800000000000002</v>
      </c>
      <c r="D30" s="129">
        <v>20.079999999999998</v>
      </c>
      <c r="E30" s="114"/>
      <c r="F30" s="114"/>
      <c r="G30" s="114"/>
      <c r="H30" s="114"/>
      <c r="I30" s="130"/>
    </row>
    <row r="31" spans="1:9" ht="16.899999999999999" customHeight="1">
      <c r="A31" s="106">
        <v>60</v>
      </c>
      <c r="B31" s="112">
        <v>0.98329599999999995</v>
      </c>
      <c r="C31" s="128">
        <v>0.27200000000000002</v>
      </c>
      <c r="D31" s="129">
        <v>19.399999999999999</v>
      </c>
      <c r="E31" s="115"/>
      <c r="F31" s="115"/>
      <c r="G31" s="115"/>
      <c r="H31" s="115"/>
      <c r="I31" s="130"/>
    </row>
    <row r="32" spans="1:9" ht="16.899999999999999" customHeight="1">
      <c r="A32" s="106">
        <v>80</v>
      </c>
      <c r="B32" s="112">
        <v>0.97214999999999996</v>
      </c>
      <c r="C32" s="128">
        <v>0.27750000000000002</v>
      </c>
      <c r="D32" s="129">
        <v>18.649999999999999</v>
      </c>
      <c r="E32" s="115"/>
      <c r="F32" s="115"/>
      <c r="G32" s="115"/>
      <c r="H32" s="115"/>
      <c r="I32" s="130"/>
    </row>
    <row r="33" spans="1:9" ht="16.899999999999999" customHeight="1">
      <c r="A33" s="106">
        <v>100</v>
      </c>
      <c r="B33" s="112">
        <v>0.95930300000000002</v>
      </c>
      <c r="C33" s="128">
        <v>0.28499999999999998</v>
      </c>
      <c r="D33" s="129">
        <v>17.82</v>
      </c>
      <c r="E33" s="115"/>
      <c r="F33" s="115"/>
      <c r="G33" s="115"/>
      <c r="H33" s="115"/>
      <c r="I33" s="130"/>
    </row>
    <row r="34" spans="1:9" ht="16.899999999999999" customHeight="1">
      <c r="A34" s="116">
        <f>+B4</f>
        <v>4</v>
      </c>
      <c r="B34" s="115" t="s">
        <v>102</v>
      </c>
      <c r="C34" s="117">
        <f>+ROUND(F7/1000,2)</f>
        <v>1.1200000000000001</v>
      </c>
      <c r="D34" s="118" t="s">
        <v>103</v>
      </c>
      <c r="E34" s="118" t="s">
        <v>104</v>
      </c>
      <c r="F34" s="118"/>
      <c r="G34" s="117">
        <f>+ROUND(H11,1)</f>
        <v>15.6</v>
      </c>
      <c r="H34" s="119" t="s">
        <v>105</v>
      </c>
      <c r="I34" s="130"/>
    </row>
    <row r="35" spans="1:9" ht="16.899999999999999" customHeight="1">
      <c r="A35" s="106">
        <f>VLOOKUP($A$34,$A$26:$D$33,2)</f>
        <v>1</v>
      </c>
      <c r="B35" s="115"/>
      <c r="C35" s="115"/>
      <c r="D35" s="115"/>
      <c r="E35" s="115"/>
      <c r="F35" s="115"/>
      <c r="G35" s="115"/>
      <c r="H35" s="115"/>
      <c r="I35" s="130"/>
    </row>
    <row r="36" spans="1:9" ht="16.899999999999999" customHeight="1">
      <c r="A36" s="120">
        <f>VLOOKUP($A$34,$A$26:$D$33,3)</f>
        <v>0.26350000000000001</v>
      </c>
      <c r="B36" s="115"/>
      <c r="C36" s="131"/>
      <c r="D36" s="131"/>
      <c r="E36" s="131"/>
      <c r="F36" s="131"/>
      <c r="G36" s="131"/>
      <c r="H36" s="131"/>
      <c r="I36" s="130"/>
    </row>
    <row r="37" spans="1:9" ht="16.899999999999999" customHeight="1">
      <c r="A37" s="106">
        <f>VLOOKUP($A$34,$A$26:$D$33,4)</f>
        <v>20.53</v>
      </c>
      <c r="B37" s="115" t="s">
        <v>106</v>
      </c>
      <c r="C37" s="115"/>
      <c r="D37" s="115"/>
      <c r="E37" s="115"/>
      <c r="F37" s="115"/>
      <c r="G37" s="115"/>
      <c r="H37" s="115"/>
      <c r="I37" s="130"/>
    </row>
    <row r="38" spans="1:9" ht="16.899999999999999" customHeight="1">
      <c r="A38" s="106"/>
      <c r="B38" s="119" t="s">
        <v>109</v>
      </c>
      <c r="C38" s="344" t="s">
        <v>110</v>
      </c>
      <c r="D38" s="344"/>
      <c r="E38" s="115"/>
      <c r="F38" s="115"/>
      <c r="G38" s="115"/>
      <c r="H38" s="115"/>
      <c r="I38" s="130"/>
    </row>
    <row r="39" spans="1:9" ht="16.899999999999999" customHeight="1">
      <c r="A39" s="106"/>
      <c r="B39" s="115">
        <v>0</v>
      </c>
      <c r="C39" s="132">
        <v>357</v>
      </c>
      <c r="D39" s="115"/>
      <c r="E39" s="115"/>
      <c r="F39" s="115"/>
      <c r="G39" s="115"/>
      <c r="H39" s="115"/>
      <c r="I39" s="130"/>
    </row>
    <row r="40" spans="1:9" ht="16.899999999999999" customHeight="1">
      <c r="A40" s="106"/>
      <c r="B40" s="115">
        <v>10</v>
      </c>
      <c r="C40" s="132">
        <v>358</v>
      </c>
      <c r="D40" s="115"/>
      <c r="E40" s="115"/>
      <c r="F40" s="115"/>
      <c r="G40" s="115"/>
      <c r="H40" s="115"/>
      <c r="I40" s="130"/>
    </row>
    <row r="41" spans="1:9" ht="16.899999999999999" customHeight="1">
      <c r="A41" s="106"/>
      <c r="B41" s="115">
        <v>20</v>
      </c>
      <c r="C41" s="132">
        <v>360</v>
      </c>
      <c r="D41" s="115"/>
      <c r="E41" s="115"/>
      <c r="F41" s="115"/>
      <c r="G41" s="115"/>
      <c r="H41" s="115"/>
      <c r="I41" s="130"/>
    </row>
    <row r="42" spans="1:9" ht="16.899999999999999" customHeight="1">
      <c r="A42" s="106"/>
      <c r="B42" s="115">
        <v>30</v>
      </c>
      <c r="C42" s="132">
        <v>363</v>
      </c>
      <c r="D42" s="115"/>
      <c r="E42" s="115"/>
      <c r="F42" s="115"/>
      <c r="G42" s="115"/>
      <c r="H42" s="115"/>
      <c r="I42" s="130"/>
    </row>
    <row r="43" spans="1:9" ht="16.899999999999999" customHeight="1">
      <c r="A43" s="106"/>
      <c r="B43" s="115">
        <v>40</v>
      </c>
      <c r="C43" s="132">
        <v>366</v>
      </c>
      <c r="D43" s="115"/>
      <c r="E43" s="115"/>
      <c r="F43" s="115"/>
      <c r="G43" s="115"/>
      <c r="H43" s="115"/>
      <c r="I43" s="130"/>
    </row>
    <row r="44" spans="1:9" ht="16.899999999999999" customHeight="1">
      <c r="A44" s="106"/>
      <c r="B44" s="115">
        <v>50</v>
      </c>
      <c r="C44" s="132">
        <v>370</v>
      </c>
      <c r="D44" s="115"/>
      <c r="E44" s="115"/>
      <c r="F44" s="115"/>
      <c r="G44" s="115"/>
      <c r="H44" s="115"/>
      <c r="I44" s="130"/>
    </row>
    <row r="45" spans="1:9" ht="16.899999999999999" customHeight="1">
      <c r="A45" s="106"/>
      <c r="B45" s="115">
        <v>60</v>
      </c>
      <c r="C45" s="132">
        <v>373</v>
      </c>
      <c r="D45" s="115"/>
      <c r="E45" s="115"/>
      <c r="F45" s="115"/>
      <c r="G45" s="115"/>
      <c r="H45" s="115"/>
      <c r="I45" s="130"/>
    </row>
    <row r="46" spans="1:9" ht="16.899999999999999" customHeight="1">
      <c r="A46" s="106"/>
      <c r="B46" s="115">
        <v>70</v>
      </c>
      <c r="C46" s="132">
        <v>378</v>
      </c>
      <c r="D46" s="115"/>
      <c r="E46" s="115"/>
      <c r="F46" s="115"/>
      <c r="G46" s="115"/>
      <c r="H46" s="115"/>
      <c r="I46" s="130"/>
    </row>
    <row r="47" spans="1:9" ht="16.899999999999999" customHeight="1">
      <c r="A47" s="106"/>
      <c r="B47" s="115">
        <v>80</v>
      </c>
      <c r="C47" s="132">
        <v>384</v>
      </c>
      <c r="D47" s="115"/>
      <c r="E47" s="115"/>
      <c r="F47" s="115"/>
      <c r="G47" s="115"/>
      <c r="H47" s="115"/>
      <c r="I47" s="130"/>
    </row>
    <row r="48" spans="1:9" ht="16.899999999999999" customHeight="1">
      <c r="A48" s="106"/>
      <c r="B48" s="115">
        <v>90</v>
      </c>
      <c r="C48" s="132">
        <v>390</v>
      </c>
      <c r="D48" s="115"/>
      <c r="E48" s="115"/>
      <c r="F48" s="115"/>
      <c r="G48" s="115"/>
      <c r="H48" s="115"/>
      <c r="I48" s="130"/>
    </row>
    <row r="49" spans="1:9" ht="16.899999999999999" customHeight="1">
      <c r="A49" s="106"/>
      <c r="B49" s="115">
        <v>100</v>
      </c>
      <c r="C49" s="132">
        <v>398</v>
      </c>
      <c r="D49" s="115"/>
      <c r="E49" s="115"/>
      <c r="F49" s="115"/>
      <c r="G49" s="115"/>
      <c r="H49" s="115"/>
      <c r="I49" s="130"/>
    </row>
    <row r="50" spans="1:9" ht="16.899999999999999" customHeight="1">
      <c r="A50" s="133" t="s">
        <v>55</v>
      </c>
      <c r="B50" s="134"/>
      <c r="C50" s="134"/>
      <c r="D50" s="134"/>
      <c r="E50" s="134"/>
      <c r="F50" s="134"/>
      <c r="G50" s="134"/>
      <c r="H50" s="134"/>
      <c r="I50" s="135" t="s">
        <v>54</v>
      </c>
    </row>
    <row r="51" spans="1:9">
      <c r="A51" s="136"/>
      <c r="B51" s="134"/>
      <c r="C51" s="134"/>
      <c r="D51" s="134"/>
      <c r="E51" s="134"/>
      <c r="F51" s="134"/>
      <c r="G51" s="134"/>
      <c r="H51" s="134"/>
      <c r="I51" s="72"/>
    </row>
    <row r="52" spans="1:9">
      <c r="A52" s="67"/>
      <c r="B52" s="2"/>
      <c r="C52" s="318" t="s">
        <v>56</v>
      </c>
      <c r="D52" s="318"/>
      <c r="E52" s="318"/>
      <c r="F52" s="318"/>
      <c r="G52" s="318"/>
      <c r="H52" s="2"/>
      <c r="I52" s="72"/>
    </row>
    <row r="53" spans="1:9">
      <c r="A53" s="67"/>
      <c r="B53" s="2"/>
      <c r="C53" s="375"/>
      <c r="D53" s="375"/>
      <c r="E53" s="375"/>
      <c r="F53" s="375"/>
      <c r="G53" s="375"/>
      <c r="H53" s="2"/>
      <c r="I53" s="72"/>
    </row>
    <row r="54" spans="1:9">
      <c r="A54" s="67"/>
      <c r="B54" s="2"/>
      <c r="C54" s="320" t="s">
        <v>57</v>
      </c>
      <c r="D54" s="320"/>
      <c r="E54" s="320"/>
      <c r="F54" s="320"/>
      <c r="G54" s="320"/>
      <c r="H54" s="2"/>
      <c r="I54" s="72"/>
    </row>
    <row r="55" spans="1:9" ht="18.75">
      <c r="A55" s="67"/>
      <c r="B55" s="2"/>
      <c r="C55" s="322" t="s">
        <v>58</v>
      </c>
      <c r="D55" s="322"/>
      <c r="E55" s="322"/>
      <c r="F55" s="322"/>
      <c r="G55" s="322"/>
      <c r="H55" s="2"/>
      <c r="I55" s="72"/>
    </row>
    <row r="56" spans="1:9" ht="15.75" thickBot="1">
      <c r="A56" s="137" t="s">
        <v>55</v>
      </c>
      <c r="B56" s="62"/>
      <c r="C56" s="62"/>
      <c r="D56" s="62"/>
      <c r="E56" s="62"/>
      <c r="F56" s="62"/>
      <c r="G56" s="62"/>
      <c r="H56" s="62"/>
      <c r="I56" s="138" t="s">
        <v>54</v>
      </c>
    </row>
    <row r="57" spans="1:9">
      <c r="A57" s="3"/>
      <c r="B57" s="3"/>
      <c r="C57" s="3"/>
      <c r="D57" s="3"/>
      <c r="E57" s="3"/>
      <c r="F57" s="3"/>
      <c r="G57" s="3"/>
      <c r="H57" s="3"/>
      <c r="I57" s="3"/>
    </row>
    <row r="58" spans="1:9">
      <c r="A58" s="3"/>
      <c r="B58" s="3"/>
      <c r="C58" s="3"/>
      <c r="D58" s="3"/>
      <c r="E58" s="3"/>
      <c r="F58" s="3"/>
      <c r="G58" s="3"/>
      <c r="H58" s="3"/>
      <c r="I58" s="3"/>
    </row>
    <row r="59" spans="1:9">
      <c r="A59" s="3"/>
      <c r="B59" s="3"/>
      <c r="C59" s="3"/>
      <c r="D59" s="3"/>
      <c r="E59" s="3"/>
      <c r="F59" s="3"/>
      <c r="G59" s="3"/>
      <c r="H59" s="3"/>
      <c r="I59" s="3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</sheetData>
  <mergeCells count="13">
    <mergeCell ref="H12:I12"/>
    <mergeCell ref="H13:I13"/>
    <mergeCell ref="C38:D38"/>
    <mergeCell ref="A1:I1"/>
    <mergeCell ref="H2:I2"/>
    <mergeCell ref="C3:D3"/>
    <mergeCell ref="H3:I3"/>
    <mergeCell ref="C5:D5"/>
    <mergeCell ref="H6:I6"/>
    <mergeCell ref="C52:G52"/>
    <mergeCell ref="C54:G54"/>
    <mergeCell ref="C55:G55"/>
    <mergeCell ref="B12:F13"/>
  </mergeCells>
  <dataValidations count="1">
    <dataValidation type="list" allowBlank="1" showInputMessage="1" showErrorMessage="1" errorTitle="Temperature" error="You have chosen a wrong water temperature" promptTitle="Temperature" prompt="Select a water temperature" sqref="B4">
      <formula1>$A$26:$A$33</formula1>
    </dataValidation>
  </dataValidations>
  <hyperlinks>
    <hyperlink ref="C54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68"/>
  <sheetViews>
    <sheetView workbookViewId="0">
      <selection sqref="A1:Y1"/>
    </sheetView>
  </sheetViews>
  <sheetFormatPr defaultColWidth="8.85546875" defaultRowHeight="15"/>
  <cols>
    <col min="1" max="1" width="3.7109375" style="1" customWidth="1"/>
    <col min="2" max="2" width="14.7109375" style="1" bestFit="1" customWidth="1"/>
    <col min="3" max="7" width="14.7109375" style="1" customWidth="1"/>
    <col min="8" max="8" width="12.7109375" style="1" customWidth="1"/>
    <col min="9" max="11" width="14.7109375" style="1" customWidth="1"/>
    <col min="12" max="12" width="2.7109375" style="1" customWidth="1"/>
    <col min="13" max="25" width="5.7109375" style="1" customWidth="1"/>
    <col min="26" max="26" width="6.7109375" style="1" customWidth="1"/>
    <col min="27" max="27" width="12.5703125" style="1" bestFit="1" customWidth="1"/>
    <col min="28" max="28" width="8.85546875" style="1"/>
    <col min="29" max="29" width="23.7109375" style="1" bestFit="1" customWidth="1"/>
    <col min="30" max="30" width="10.42578125" style="1" bestFit="1" customWidth="1"/>
    <col min="31" max="31" width="10.85546875" style="1" bestFit="1" customWidth="1"/>
    <col min="32" max="32" width="10.42578125" style="1" bestFit="1" customWidth="1"/>
    <col min="33" max="33" width="10.85546875" style="1" bestFit="1" customWidth="1"/>
    <col min="34" max="34" width="8.7109375" style="1" bestFit="1" customWidth="1"/>
    <col min="35" max="35" width="8.28515625" style="1" bestFit="1" customWidth="1"/>
    <col min="36" max="36" width="10.42578125" style="1" bestFit="1" customWidth="1"/>
    <col min="37" max="37" width="8" style="1" bestFit="1" customWidth="1"/>
    <col min="38" max="38" width="12.28515625" style="1" bestFit="1" customWidth="1"/>
    <col min="39" max="39" width="12.5703125" style="1" bestFit="1" customWidth="1"/>
    <col min="40" max="16384" width="8.85546875" style="1"/>
  </cols>
  <sheetData>
    <row r="1" spans="1:40" ht="21.6" customHeight="1" thickBot="1">
      <c r="A1" s="360" t="s">
        <v>189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183"/>
      <c r="AA1" s="250"/>
      <c r="AB1" s="251">
        <f>H7</f>
        <v>5.8</v>
      </c>
      <c r="AC1" s="252"/>
      <c r="AD1" s="358" t="s">
        <v>127</v>
      </c>
      <c r="AE1" s="358"/>
      <c r="AF1" s="358"/>
      <c r="AG1" s="253"/>
      <c r="AH1" s="254"/>
      <c r="AI1" s="252"/>
      <c r="AJ1" s="358" t="s">
        <v>128</v>
      </c>
      <c r="AK1" s="358"/>
      <c r="AL1" s="358"/>
      <c r="AM1" s="252"/>
      <c r="AN1" s="3"/>
    </row>
    <row r="2" spans="1:40" ht="15.75" thickBot="1">
      <c r="A2" s="67"/>
      <c r="B2" s="363" t="s">
        <v>111</v>
      </c>
      <c r="C2" s="364"/>
      <c r="D2" s="365"/>
      <c r="E2" s="2" t="s">
        <v>112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72"/>
      <c r="AA2" s="254"/>
      <c r="AB2" s="254"/>
      <c r="AC2" s="251" t="s">
        <v>236</v>
      </c>
      <c r="AD2" s="251" t="s">
        <v>129</v>
      </c>
      <c r="AE2" s="251" t="s">
        <v>130</v>
      </c>
      <c r="AF2" s="251" t="s">
        <v>125</v>
      </c>
      <c r="AG2" s="251" t="s">
        <v>131</v>
      </c>
      <c r="AH2" s="255" t="s">
        <v>132</v>
      </c>
      <c r="AI2" s="255" t="s">
        <v>133</v>
      </c>
      <c r="AJ2" s="252" t="s">
        <v>134</v>
      </c>
      <c r="AK2" s="252" t="s">
        <v>135</v>
      </c>
      <c r="AL2" s="252" t="s">
        <v>136</v>
      </c>
      <c r="AM2" s="256" t="s">
        <v>137</v>
      </c>
      <c r="AN2" s="3"/>
    </row>
    <row r="3" spans="1:40" ht="15.75">
      <c r="A3" s="67"/>
      <c r="B3" s="366" t="s">
        <v>113</v>
      </c>
      <c r="C3" s="367"/>
      <c r="D3" s="198">
        <f>AB7</f>
        <v>2256</v>
      </c>
      <c r="E3" s="2" t="s">
        <v>114</v>
      </c>
      <c r="F3" s="2"/>
      <c r="G3" s="2"/>
      <c r="H3" s="2"/>
      <c r="I3" s="2"/>
      <c r="J3" s="2"/>
      <c r="K3" s="184"/>
      <c r="L3" s="184"/>
      <c r="M3" s="2"/>
      <c r="N3" s="336" t="str">
        <f>+Spand!B3</f>
        <v>Anvendt plast spand varernr.</v>
      </c>
      <c r="O3" s="336"/>
      <c r="P3" s="336"/>
      <c r="Q3" s="336"/>
      <c r="R3" s="336"/>
      <c r="S3" s="336"/>
      <c r="T3" s="336"/>
      <c r="U3" s="336">
        <f>+D3</f>
        <v>2256</v>
      </c>
      <c r="V3" s="336"/>
      <c r="W3" s="336"/>
      <c r="X3" s="2"/>
      <c r="Y3" s="2"/>
      <c r="Z3" s="72"/>
      <c r="AA3" s="254" t="str">
        <f>+AC2</f>
        <v xml:space="preserve">Spand liter  </v>
      </c>
      <c r="AB3" s="253">
        <f>VLOOKUP($AB$1,$AC$3:$AM$17,1)</f>
        <v>5.8</v>
      </c>
      <c r="AC3" s="254">
        <v>2.2000000000000002</v>
      </c>
      <c r="AD3" s="254">
        <v>194</v>
      </c>
      <c r="AE3" s="254">
        <v>175</v>
      </c>
      <c r="AF3" s="254">
        <v>98</v>
      </c>
      <c r="AG3" s="254">
        <v>189</v>
      </c>
      <c r="AH3" s="257">
        <f>(AD3+AE3)/2</f>
        <v>184.5</v>
      </c>
      <c r="AI3" s="258">
        <f>ROUND(PI()*(AH3/200)^2*AF3/100,1)</f>
        <v>2.6</v>
      </c>
      <c r="AJ3" s="252">
        <v>83</v>
      </c>
      <c r="AK3" s="252">
        <v>31</v>
      </c>
      <c r="AL3" s="252">
        <f>0+18</f>
        <v>18</v>
      </c>
      <c r="AM3" s="259">
        <f>AI3-AC3</f>
        <v>0.39999999999999991</v>
      </c>
      <c r="AN3" s="3"/>
    </row>
    <row r="4" spans="1:40" ht="15.75" thickBot="1">
      <c r="A4" s="67"/>
      <c r="B4" s="199" t="s">
        <v>115</v>
      </c>
      <c r="C4" s="200" t="s">
        <v>148</v>
      </c>
      <c r="D4" s="201" t="s">
        <v>224</v>
      </c>
      <c r="E4" s="2" t="s">
        <v>149</v>
      </c>
      <c r="F4" s="2"/>
      <c r="G4" s="2"/>
      <c r="H4" s="146" t="str">
        <f>+Saltsild!K37</f>
        <v>uden hoved</v>
      </c>
      <c r="I4" s="147" t="s">
        <v>176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72"/>
      <c r="AA4" s="254" t="str">
        <f>+AD2</f>
        <v>Top Ø</v>
      </c>
      <c r="AB4" s="253">
        <f>VLOOKUP($AB$1,$AC$3:$AM$17,2)</f>
        <v>222</v>
      </c>
      <c r="AC4" s="254">
        <v>2.6</v>
      </c>
      <c r="AD4" s="254">
        <v>194</v>
      </c>
      <c r="AE4" s="254">
        <v>170</v>
      </c>
      <c r="AF4" s="254">
        <v>121</v>
      </c>
      <c r="AG4" s="254">
        <v>2191</v>
      </c>
      <c r="AH4" s="257">
        <f t="shared" ref="AH4:AH17" si="0">(AD4+AE4)/2</f>
        <v>182</v>
      </c>
      <c r="AI4" s="258">
        <f t="shared" ref="AI4:AI17" si="1">ROUND(PI()*(AH4/200)^2*AF4/100,1)</f>
        <v>3.1</v>
      </c>
      <c r="AJ4" s="252">
        <v>93</v>
      </c>
      <c r="AK4" s="252">
        <v>31</v>
      </c>
      <c r="AL4" s="252">
        <f>6+18</f>
        <v>24</v>
      </c>
      <c r="AM4" s="259">
        <f t="shared" ref="AM4:AM17" si="2">AI4-AC4</f>
        <v>0.5</v>
      </c>
      <c r="AN4" s="3"/>
    </row>
    <row r="5" spans="1:40" ht="15.75">
      <c r="A5" s="67"/>
      <c r="B5" s="202" t="s">
        <v>117</v>
      </c>
      <c r="C5" s="203">
        <f>AB4</f>
        <v>222</v>
      </c>
      <c r="D5" s="204" t="s">
        <v>118</v>
      </c>
      <c r="E5" s="2" t="s">
        <v>119</v>
      </c>
      <c r="F5" s="2"/>
      <c r="G5" s="2"/>
      <c r="H5" s="209">
        <v>0.05</v>
      </c>
      <c r="I5" s="2" t="s">
        <v>120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72"/>
      <c r="AA5" s="254" t="str">
        <f>+AE2</f>
        <v>Bund Ø</v>
      </c>
      <c r="AB5" s="253">
        <f>VLOOKUP($AB$1,$AC$3:$AM$17,3)</f>
        <v>193</v>
      </c>
      <c r="AC5" s="259">
        <v>3</v>
      </c>
      <c r="AD5" s="254">
        <v>194</v>
      </c>
      <c r="AE5" s="254">
        <v>170</v>
      </c>
      <c r="AF5" s="254">
        <v>137</v>
      </c>
      <c r="AG5" s="254">
        <v>2192</v>
      </c>
      <c r="AH5" s="257">
        <f t="shared" si="0"/>
        <v>182</v>
      </c>
      <c r="AI5" s="258">
        <f t="shared" si="1"/>
        <v>3.6</v>
      </c>
      <c r="AJ5" s="252">
        <v>97</v>
      </c>
      <c r="AK5" s="252">
        <v>31</v>
      </c>
      <c r="AL5" s="252">
        <f>6+18</f>
        <v>24</v>
      </c>
      <c r="AM5" s="259">
        <f t="shared" si="2"/>
        <v>0.60000000000000009</v>
      </c>
      <c r="AN5" s="3"/>
    </row>
    <row r="6" spans="1:40">
      <c r="A6" s="67"/>
      <c r="B6" s="202" t="s">
        <v>121</v>
      </c>
      <c r="C6" s="205">
        <f>AB8</f>
        <v>207.5</v>
      </c>
      <c r="D6" s="204">
        <f>AB9</f>
        <v>6.7</v>
      </c>
      <c r="E6" s="2" t="s">
        <v>223</v>
      </c>
      <c r="F6" s="2"/>
      <c r="G6" s="2"/>
      <c r="H6" s="246">
        <f>AC37</f>
        <v>4.4000000000000004</v>
      </c>
      <c r="I6" s="185" t="str">
        <f>CONCATENATE(AF35,H4)</f>
        <v xml:space="preserve"> liter uden hoved</v>
      </c>
      <c r="J6" s="2"/>
      <c r="K6" s="2"/>
      <c r="L6" s="2"/>
      <c r="M6" s="2"/>
      <c r="N6" s="2"/>
      <c r="O6" s="2"/>
      <c r="P6" s="353" t="str">
        <f>+B5</f>
        <v>Top diameter</v>
      </c>
      <c r="Q6" s="353"/>
      <c r="R6" s="353"/>
      <c r="S6" s="353">
        <f>+C5</f>
        <v>222</v>
      </c>
      <c r="T6" s="353"/>
      <c r="U6" s="175" t="str">
        <f>+C4</f>
        <v xml:space="preserve"> mm</v>
      </c>
      <c r="V6" s="2"/>
      <c r="W6" s="2"/>
      <c r="X6" s="176"/>
      <c r="Y6" s="176"/>
      <c r="Z6" s="72"/>
      <c r="AA6" s="254" t="str">
        <f>+AF2</f>
        <v>Højde</v>
      </c>
      <c r="AB6" s="253">
        <f>VLOOKUP($AB$1,$AC$3:$AM$17,4)</f>
        <v>197</v>
      </c>
      <c r="AC6" s="254">
        <v>3.5</v>
      </c>
      <c r="AD6" s="254">
        <v>194</v>
      </c>
      <c r="AE6" s="254">
        <v>167</v>
      </c>
      <c r="AF6" s="254">
        <v>161</v>
      </c>
      <c r="AG6" s="254">
        <v>2201</v>
      </c>
      <c r="AH6" s="257">
        <f t="shared" si="0"/>
        <v>180.5</v>
      </c>
      <c r="AI6" s="258">
        <f t="shared" si="1"/>
        <v>4.0999999999999996</v>
      </c>
      <c r="AJ6" s="252">
        <v>110</v>
      </c>
      <c r="AK6" s="252">
        <v>31</v>
      </c>
      <c r="AL6" s="252">
        <f>6+18</f>
        <v>24</v>
      </c>
      <c r="AM6" s="259">
        <f t="shared" si="2"/>
        <v>0.59999999999999964</v>
      </c>
      <c r="AN6" s="3"/>
    </row>
    <row r="7" spans="1:40" ht="15.75">
      <c r="A7" s="67"/>
      <c r="B7" s="202" t="s">
        <v>122</v>
      </c>
      <c r="C7" s="203">
        <f>AB5</f>
        <v>193</v>
      </c>
      <c r="D7" s="204" t="s">
        <v>123</v>
      </c>
      <c r="E7" s="150" t="s">
        <v>124</v>
      </c>
      <c r="F7" s="66"/>
      <c r="G7" s="66"/>
      <c r="H7" s="210">
        <v>5.8</v>
      </c>
      <c r="I7" s="2" t="str">
        <f>IF(H7&gt;H6,"Spanden er OK","Spanden er for lille")</f>
        <v>Spanden er OK</v>
      </c>
      <c r="J7" s="2"/>
      <c r="K7" s="175"/>
      <c r="L7" s="17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2"/>
      <c r="AA7" s="254" t="str">
        <f>+AG2</f>
        <v>Varer nr.</v>
      </c>
      <c r="AB7" s="253">
        <f>VLOOKUP($AB$1,$AC$3:$AM$17,5)</f>
        <v>2256</v>
      </c>
      <c r="AC7" s="254">
        <v>4.8</v>
      </c>
      <c r="AD7" s="254">
        <v>222</v>
      </c>
      <c r="AE7" s="254">
        <v>196</v>
      </c>
      <c r="AF7" s="254">
        <v>162</v>
      </c>
      <c r="AG7" s="254">
        <v>2245</v>
      </c>
      <c r="AH7" s="257">
        <f t="shared" si="0"/>
        <v>209</v>
      </c>
      <c r="AI7" s="258">
        <f t="shared" si="1"/>
        <v>5.6</v>
      </c>
      <c r="AJ7" s="252">
        <v>147</v>
      </c>
      <c r="AK7" s="252">
        <v>40</v>
      </c>
      <c r="AL7" s="252">
        <f>8+21</f>
        <v>29</v>
      </c>
      <c r="AM7" s="259">
        <f t="shared" si="2"/>
        <v>0.79999999999999982</v>
      </c>
      <c r="AN7" s="3"/>
    </row>
    <row r="8" spans="1:40" ht="16.5" thickBot="1">
      <c r="A8" s="67"/>
      <c r="B8" s="206" t="s">
        <v>125</v>
      </c>
      <c r="C8" s="207">
        <f>AB6</f>
        <v>197</v>
      </c>
      <c r="D8" s="208">
        <f>AB3</f>
        <v>5.8</v>
      </c>
      <c r="E8" s="2" t="s">
        <v>126</v>
      </c>
      <c r="F8" s="2"/>
      <c r="G8" s="2"/>
      <c r="H8" s="246">
        <f>AC36</f>
        <v>5</v>
      </c>
      <c r="I8" s="185" t="str">
        <f>CONCATENATE(AE35,H4)</f>
        <v xml:space="preserve"> kg uden hoved</v>
      </c>
      <c r="J8" s="17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85">
        <f>+S23-S10</f>
        <v>73</v>
      </c>
      <c r="Y8" s="285"/>
      <c r="Z8" s="72"/>
      <c r="AA8" s="254" t="str">
        <f>AH2</f>
        <v>Middel Ø</v>
      </c>
      <c r="AB8" s="253">
        <f>VLOOKUP($AB$1,$AC$3:$AM$17,6)</f>
        <v>207.5</v>
      </c>
      <c r="AC8" s="254">
        <v>5.6</v>
      </c>
      <c r="AD8" s="254">
        <v>222</v>
      </c>
      <c r="AE8" s="254">
        <v>194</v>
      </c>
      <c r="AF8" s="254">
        <v>189</v>
      </c>
      <c r="AG8" s="254">
        <v>2253</v>
      </c>
      <c r="AH8" s="257">
        <f t="shared" si="0"/>
        <v>208</v>
      </c>
      <c r="AI8" s="258">
        <f t="shared" si="1"/>
        <v>6.4</v>
      </c>
      <c r="AJ8" s="252">
        <v>163</v>
      </c>
      <c r="AK8" s="252">
        <v>40</v>
      </c>
      <c r="AL8" s="252">
        <f>8+21</f>
        <v>29</v>
      </c>
      <c r="AM8" s="259">
        <f t="shared" si="2"/>
        <v>0.80000000000000071</v>
      </c>
      <c r="AN8" s="3"/>
    </row>
    <row r="9" spans="1:40" ht="15.75" thickBot="1">
      <c r="A9" s="67"/>
      <c r="B9" s="2"/>
      <c r="C9" s="147"/>
      <c r="D9" s="144"/>
      <c r="E9" s="2" t="s">
        <v>191</v>
      </c>
      <c r="F9" s="2"/>
      <c r="G9" s="2"/>
      <c r="H9" s="247">
        <v>1</v>
      </c>
      <c r="I9" s="2" t="s">
        <v>116</v>
      </c>
      <c r="J9" s="2"/>
      <c r="K9" s="175"/>
      <c r="L9" s="17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85" t="str">
        <f>+U6</f>
        <v xml:space="preserve"> mm</v>
      </c>
      <c r="Y9" s="285"/>
      <c r="Z9" s="72"/>
      <c r="AA9" s="254" t="str">
        <f>AI2</f>
        <v>Ext. Liter</v>
      </c>
      <c r="AB9" s="253">
        <f>VLOOKUP($AB$1,$AC$3:$AM$17,7)</f>
        <v>6.7</v>
      </c>
      <c r="AC9" s="254">
        <v>5.8</v>
      </c>
      <c r="AD9" s="254">
        <v>222</v>
      </c>
      <c r="AE9" s="254">
        <v>193</v>
      </c>
      <c r="AF9" s="254">
        <v>197</v>
      </c>
      <c r="AG9" s="254">
        <v>2256</v>
      </c>
      <c r="AH9" s="257">
        <f t="shared" si="0"/>
        <v>207.5</v>
      </c>
      <c r="AI9" s="258">
        <f t="shared" si="1"/>
        <v>6.7</v>
      </c>
      <c r="AJ9" s="252">
        <v>170</v>
      </c>
      <c r="AK9" s="252">
        <v>40</v>
      </c>
      <c r="AL9" s="252">
        <f>8+21</f>
        <v>29</v>
      </c>
      <c r="AM9" s="259">
        <f t="shared" si="2"/>
        <v>0.90000000000000036</v>
      </c>
      <c r="AN9" s="3"/>
    </row>
    <row r="10" spans="1:40" ht="15.75" thickBot="1">
      <c r="A10" s="6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53" t="s">
        <v>177</v>
      </c>
      <c r="P10" s="353"/>
      <c r="Q10" s="353"/>
      <c r="R10" s="2"/>
      <c r="S10" s="357">
        <f>+AC38</f>
        <v>124</v>
      </c>
      <c r="T10" s="357"/>
      <c r="U10" s="175" t="str">
        <f>+U6</f>
        <v xml:space="preserve"> mm</v>
      </c>
      <c r="V10" s="2"/>
      <c r="W10" s="2"/>
      <c r="X10" s="176"/>
      <c r="Y10" s="176"/>
      <c r="Z10" s="72"/>
      <c r="AA10" s="254" t="str">
        <f>AJ2</f>
        <v>Vægt spand</v>
      </c>
      <c r="AB10" s="253">
        <f>VLOOKUP($AB$1,$AC$3:$AM$17,8)</f>
        <v>170</v>
      </c>
      <c r="AC10" s="254">
        <v>7.5</v>
      </c>
      <c r="AD10" s="254">
        <v>266</v>
      </c>
      <c r="AE10" s="254">
        <v>244</v>
      </c>
      <c r="AF10" s="254">
        <v>176</v>
      </c>
      <c r="AG10" s="254">
        <v>280</v>
      </c>
      <c r="AH10" s="257">
        <f t="shared" si="0"/>
        <v>255</v>
      </c>
      <c r="AI10" s="258">
        <f t="shared" si="1"/>
        <v>9</v>
      </c>
      <c r="AJ10" s="252">
        <v>250</v>
      </c>
      <c r="AK10" s="252">
        <v>64</v>
      </c>
      <c r="AL10" s="252">
        <f>23+39</f>
        <v>62</v>
      </c>
      <c r="AM10" s="259">
        <f t="shared" si="2"/>
        <v>1.5</v>
      </c>
      <c r="AN10" s="3"/>
    </row>
    <row r="11" spans="1:40">
      <c r="A11" s="67"/>
      <c r="B11" s="368" t="s">
        <v>166</v>
      </c>
      <c r="C11" s="369"/>
      <c r="D11" s="369"/>
      <c r="E11" s="369"/>
      <c r="F11" s="369"/>
      <c r="G11" s="369"/>
      <c r="H11" s="369"/>
      <c r="I11" s="369"/>
      <c r="J11" s="369"/>
      <c r="K11" s="370"/>
      <c r="L11" s="146"/>
      <c r="M11" s="2"/>
      <c r="N11" s="354"/>
      <c r="O11" s="354"/>
      <c r="P11" s="285" t="str">
        <f>+Saltsild!B40</f>
        <v>spegesild uden hoved</v>
      </c>
      <c r="Q11" s="285"/>
      <c r="R11" s="285"/>
      <c r="S11" s="285"/>
      <c r="T11" s="285"/>
      <c r="U11" s="285"/>
      <c r="V11" s="2"/>
      <c r="W11" s="2"/>
      <c r="X11" s="2"/>
      <c r="Y11" s="2"/>
      <c r="Z11" s="72"/>
      <c r="AA11" s="254" t="str">
        <f>AK2</f>
        <v>Vægt låg</v>
      </c>
      <c r="AB11" s="253">
        <f>VLOOKUP($AB$1,$AC$3:$AM$17,9)</f>
        <v>40</v>
      </c>
      <c r="AC11" s="254">
        <v>11.1</v>
      </c>
      <c r="AD11" s="254">
        <v>266</v>
      </c>
      <c r="AE11" s="254">
        <v>235</v>
      </c>
      <c r="AF11" s="254">
        <v>255</v>
      </c>
      <c r="AG11" s="254">
        <v>296</v>
      </c>
      <c r="AH11" s="257">
        <f t="shared" si="0"/>
        <v>250.5</v>
      </c>
      <c r="AI11" s="258">
        <f t="shared" si="1"/>
        <v>12.6</v>
      </c>
      <c r="AJ11" s="252">
        <v>329</v>
      </c>
      <c r="AK11" s="252">
        <v>64</v>
      </c>
      <c r="AL11" s="252">
        <f>23+33</f>
        <v>56</v>
      </c>
      <c r="AM11" s="259">
        <f t="shared" si="2"/>
        <v>1.5</v>
      </c>
      <c r="AN11" s="3"/>
    </row>
    <row r="12" spans="1:40">
      <c r="A12" s="67"/>
      <c r="B12" s="150" t="s">
        <v>150</v>
      </c>
      <c r="C12" s="2">
        <v>1000</v>
      </c>
      <c r="D12" s="144" t="s">
        <v>3</v>
      </c>
      <c r="E12" s="285" t="s">
        <v>151</v>
      </c>
      <c r="F12" s="285"/>
      <c r="G12" s="2"/>
      <c r="H12" s="2"/>
      <c r="I12" s="2"/>
      <c r="J12" s="2"/>
      <c r="K12" s="7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72"/>
      <c r="AA12" s="254" t="str">
        <f>AL2</f>
        <v>Vægt håndtag</v>
      </c>
      <c r="AB12" s="253">
        <f>VLOOKUP($AB$1,$AC$3:$AM$17,10)</f>
        <v>29</v>
      </c>
      <c r="AC12" s="254">
        <v>11.4</v>
      </c>
      <c r="AD12" s="254">
        <v>296</v>
      </c>
      <c r="AE12" s="254">
        <v>266</v>
      </c>
      <c r="AF12" s="254">
        <v>208</v>
      </c>
      <c r="AG12" s="254">
        <v>2460</v>
      </c>
      <c r="AH12" s="257">
        <f t="shared" si="0"/>
        <v>281</v>
      </c>
      <c r="AI12" s="258">
        <f t="shared" si="1"/>
        <v>12.9</v>
      </c>
      <c r="AJ12" s="252">
        <v>323</v>
      </c>
      <c r="AK12" s="252">
        <v>78</v>
      </c>
      <c r="AL12" s="252">
        <f>0+44</f>
        <v>44</v>
      </c>
      <c r="AM12" s="259">
        <f t="shared" si="2"/>
        <v>1.5</v>
      </c>
      <c r="AN12" s="3"/>
    </row>
    <row r="13" spans="1:40">
      <c r="A13" s="67"/>
      <c r="B13" s="67" t="s">
        <v>152</v>
      </c>
      <c r="C13" s="2">
        <f>+Saltsild!P7*1000</f>
        <v>250</v>
      </c>
      <c r="D13" s="144" t="s">
        <v>3</v>
      </c>
      <c r="E13" s="285" t="s">
        <v>192</v>
      </c>
      <c r="F13" s="285"/>
      <c r="G13" s="144">
        <v>2.165</v>
      </c>
      <c r="H13" s="144" t="s">
        <v>154</v>
      </c>
      <c r="I13" s="2"/>
      <c r="J13" s="144">
        <v>145</v>
      </c>
      <c r="K13" s="151" t="s">
        <v>70</v>
      </c>
      <c r="L13" s="14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72"/>
      <c r="AA13" s="260" t="str">
        <f>AM2</f>
        <v>Brutto - Netto</v>
      </c>
      <c r="AB13" s="253">
        <f>VLOOKUP($AB$1,$AC$3:$AM$17,11)</f>
        <v>0.90000000000000036</v>
      </c>
      <c r="AC13" s="254">
        <v>12</v>
      </c>
      <c r="AD13" s="254">
        <v>296</v>
      </c>
      <c r="AE13" s="254">
        <v>269</v>
      </c>
      <c r="AF13" s="254">
        <v>217</v>
      </c>
      <c r="AG13" s="254">
        <v>465</v>
      </c>
      <c r="AH13" s="257">
        <f t="shared" si="0"/>
        <v>282.5</v>
      </c>
      <c r="AI13" s="258">
        <f t="shared" si="1"/>
        <v>13.6</v>
      </c>
      <c r="AJ13" s="252">
        <v>354</v>
      </c>
      <c r="AK13" s="252">
        <v>78</v>
      </c>
      <c r="AL13" s="252">
        <f>0+46</f>
        <v>46</v>
      </c>
      <c r="AM13" s="259">
        <f t="shared" si="2"/>
        <v>1.5999999999999996</v>
      </c>
      <c r="AN13" s="3"/>
    </row>
    <row r="14" spans="1:40" ht="15.75" thickBot="1">
      <c r="A14" s="67"/>
      <c r="B14" s="152" t="s">
        <v>155</v>
      </c>
      <c r="C14" s="153">
        <f>C12+C13</f>
        <v>1250</v>
      </c>
      <c r="D14" s="154" t="s">
        <v>3</v>
      </c>
      <c r="E14" s="2"/>
      <c r="F14" s="2"/>
      <c r="G14" s="2"/>
      <c r="H14" s="2"/>
      <c r="I14" s="2"/>
      <c r="J14" s="2"/>
      <c r="K14" s="7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72"/>
      <c r="AA14" s="254"/>
      <c r="AB14" s="254"/>
      <c r="AC14" s="254">
        <v>14.1</v>
      </c>
      <c r="AD14" s="254">
        <v>296</v>
      </c>
      <c r="AE14" s="254">
        <v>269</v>
      </c>
      <c r="AF14" s="254">
        <v>250</v>
      </c>
      <c r="AG14" s="254">
        <v>467</v>
      </c>
      <c r="AH14" s="257">
        <f t="shared" si="0"/>
        <v>282.5</v>
      </c>
      <c r="AI14" s="258">
        <f t="shared" si="1"/>
        <v>15.7</v>
      </c>
      <c r="AJ14" s="252">
        <v>384</v>
      </c>
      <c r="AK14" s="252">
        <v>78</v>
      </c>
      <c r="AL14" s="252">
        <f>0+45</f>
        <v>45</v>
      </c>
      <c r="AM14" s="259">
        <f t="shared" si="2"/>
        <v>1.5999999999999996</v>
      </c>
      <c r="AN14" s="3"/>
    </row>
    <row r="15" spans="1:40" ht="15.75" thickTop="1">
      <c r="A15" s="67"/>
      <c r="B15" s="67" t="s">
        <v>156</v>
      </c>
      <c r="C15" s="2" t="s">
        <v>157</v>
      </c>
      <c r="D15" s="2"/>
      <c r="E15" s="65">
        <f>+C13/C14</f>
        <v>0.2</v>
      </c>
      <c r="F15" s="2" t="s">
        <v>158</v>
      </c>
      <c r="G15" s="2"/>
      <c r="H15" s="180">
        <f>J13-(J13/G19)</f>
        <v>15.60508083140877</v>
      </c>
      <c r="I15" s="155" t="s">
        <v>159</v>
      </c>
      <c r="J15" s="2"/>
      <c r="K15" s="7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72"/>
      <c r="AA15" s="254"/>
      <c r="AB15" s="254"/>
      <c r="AC15" s="261">
        <v>15.9</v>
      </c>
      <c r="AD15" s="254">
        <v>297</v>
      </c>
      <c r="AE15" s="254">
        <v>268</v>
      </c>
      <c r="AF15" s="254">
        <v>292</v>
      </c>
      <c r="AG15" s="254">
        <v>480</v>
      </c>
      <c r="AH15" s="257">
        <f t="shared" si="0"/>
        <v>282.5</v>
      </c>
      <c r="AI15" s="258">
        <f t="shared" si="1"/>
        <v>18.3</v>
      </c>
      <c r="AJ15" s="252">
        <v>425</v>
      </c>
      <c r="AK15" s="252">
        <v>79</v>
      </c>
      <c r="AL15" s="252">
        <f>38+46</f>
        <v>84</v>
      </c>
      <c r="AM15" s="259">
        <f t="shared" si="2"/>
        <v>2.4000000000000004</v>
      </c>
      <c r="AN15" s="3"/>
    </row>
    <row r="16" spans="1:40">
      <c r="A16" s="67"/>
      <c r="B16" s="67"/>
      <c r="C16" s="2"/>
      <c r="D16" s="2"/>
      <c r="E16" s="156" t="s">
        <v>167</v>
      </c>
      <c r="F16" s="2"/>
      <c r="G16" s="2"/>
      <c r="H16" s="2"/>
      <c r="I16" s="2"/>
      <c r="J16" s="2"/>
      <c r="K16" s="72"/>
      <c r="L16" s="2"/>
      <c r="M16" s="2"/>
      <c r="N16" s="2"/>
      <c r="O16" s="2"/>
      <c r="P16" s="353" t="str">
        <f>+B6</f>
        <v>Middel diameter</v>
      </c>
      <c r="Q16" s="353"/>
      <c r="R16" s="353"/>
      <c r="S16" s="357">
        <f>+C6</f>
        <v>207.5</v>
      </c>
      <c r="T16" s="353"/>
      <c r="U16" s="175" t="str">
        <f>+U6</f>
        <v xml:space="preserve"> mm</v>
      </c>
      <c r="V16" s="2"/>
      <c r="W16" s="2"/>
      <c r="X16" s="2"/>
      <c r="Y16" s="2"/>
      <c r="Z16" s="72"/>
      <c r="AA16" s="254"/>
      <c r="AB16" s="254"/>
      <c r="AC16" s="254">
        <v>21.7</v>
      </c>
      <c r="AD16" s="254">
        <v>296</v>
      </c>
      <c r="AE16" s="254">
        <v>258</v>
      </c>
      <c r="AF16" s="254">
        <v>396</v>
      </c>
      <c r="AG16" s="254">
        <v>484</v>
      </c>
      <c r="AH16" s="257">
        <f t="shared" si="0"/>
        <v>277</v>
      </c>
      <c r="AI16" s="258">
        <f t="shared" si="1"/>
        <v>23.9</v>
      </c>
      <c r="AJ16" s="252">
        <v>614</v>
      </c>
      <c r="AK16" s="252">
        <v>78</v>
      </c>
      <c r="AL16" s="252">
        <f>0+45</f>
        <v>45</v>
      </c>
      <c r="AM16" s="259">
        <f t="shared" si="2"/>
        <v>2.1999999999999993</v>
      </c>
      <c r="AN16" s="3"/>
    </row>
    <row r="17" spans="1:40">
      <c r="A17" s="67"/>
      <c r="B17" s="67" t="s">
        <v>160</v>
      </c>
      <c r="C17" s="2">
        <f>C12</f>
        <v>1000</v>
      </c>
      <c r="D17" s="144" t="s">
        <v>161</v>
      </c>
      <c r="E17" s="156" t="s">
        <v>168</v>
      </c>
      <c r="F17" s="2"/>
      <c r="G17" s="2"/>
      <c r="H17" s="2"/>
      <c r="I17" s="2"/>
      <c r="J17" s="2"/>
      <c r="K17" s="7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72"/>
      <c r="AA17" s="254"/>
      <c r="AB17" s="254"/>
      <c r="AC17" s="254">
        <v>27.3</v>
      </c>
      <c r="AD17" s="254">
        <v>332</v>
      </c>
      <c r="AE17" s="254">
        <v>286</v>
      </c>
      <c r="AF17" s="254">
        <v>421</v>
      </c>
      <c r="AG17" s="254">
        <v>9270</v>
      </c>
      <c r="AH17" s="257">
        <f t="shared" si="0"/>
        <v>309</v>
      </c>
      <c r="AI17" s="258">
        <f t="shared" si="1"/>
        <v>31.6</v>
      </c>
      <c r="AJ17" s="252">
        <v>851</v>
      </c>
      <c r="AK17" s="252">
        <v>133</v>
      </c>
      <c r="AL17" s="252">
        <f>0+61</f>
        <v>61</v>
      </c>
      <c r="AM17" s="259">
        <f t="shared" si="2"/>
        <v>4.3000000000000007</v>
      </c>
      <c r="AN17" s="3"/>
    </row>
    <row r="18" spans="1:40">
      <c r="A18" s="67"/>
      <c r="B18" s="67" t="s">
        <v>162</v>
      </c>
      <c r="C18" s="157">
        <f>C13/G13</f>
        <v>115.47344110854503</v>
      </c>
      <c r="D18" s="144" t="s">
        <v>161</v>
      </c>
      <c r="E18" s="156"/>
      <c r="F18" s="2"/>
      <c r="G18" s="2"/>
      <c r="H18" s="2"/>
      <c r="I18" s="2"/>
      <c r="J18" s="2"/>
      <c r="K18" s="72"/>
      <c r="L18" s="2"/>
      <c r="M18" s="2"/>
      <c r="N18" s="2"/>
      <c r="O18" s="353" t="s">
        <v>178</v>
      </c>
      <c r="P18" s="353"/>
      <c r="Q18" s="353"/>
      <c r="R18" s="353"/>
      <c r="S18" s="355">
        <f>+D6</f>
        <v>6.7</v>
      </c>
      <c r="T18" s="285"/>
      <c r="U18" s="353" t="str">
        <f>+D4</f>
        <v xml:space="preserve"> liter</v>
      </c>
      <c r="V18" s="353"/>
      <c r="W18" s="2"/>
      <c r="X18" s="2"/>
      <c r="Y18" s="2"/>
      <c r="Z18" s="72"/>
      <c r="AA18" s="254"/>
      <c r="AB18" s="254"/>
      <c r="AC18" s="254"/>
      <c r="AD18" s="359" t="s">
        <v>138</v>
      </c>
      <c r="AE18" s="359"/>
      <c r="AF18" s="359" t="s">
        <v>165</v>
      </c>
      <c r="AG18" s="359"/>
      <c r="AH18" s="252"/>
      <c r="AI18" s="258"/>
      <c r="AJ18" s="252"/>
      <c r="AK18" s="252"/>
      <c r="AL18" s="252"/>
      <c r="AM18" s="259"/>
      <c r="AN18" s="3"/>
    </row>
    <row r="19" spans="1:40" ht="15.75" thickBot="1">
      <c r="A19" s="67"/>
      <c r="B19" s="158" t="s">
        <v>163</v>
      </c>
      <c r="C19" s="159">
        <f>SUM(C17:C18)</f>
        <v>1115.4734411085451</v>
      </c>
      <c r="D19" s="160" t="s">
        <v>161</v>
      </c>
      <c r="E19" s="362" t="s">
        <v>153</v>
      </c>
      <c r="F19" s="362"/>
      <c r="G19" s="161">
        <f>C14/C19</f>
        <v>1.1206004140786749</v>
      </c>
      <c r="H19" s="162" t="s">
        <v>154</v>
      </c>
      <c r="I19" s="62"/>
      <c r="J19" s="62"/>
      <c r="K19" s="16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72"/>
      <c r="AA19" s="252"/>
      <c r="AB19" s="252"/>
      <c r="AC19" s="253"/>
      <c r="AD19" s="255" t="s">
        <v>139</v>
      </c>
      <c r="AE19" s="251" t="s">
        <v>140</v>
      </c>
      <c r="AF19" s="255" t="s">
        <v>139</v>
      </c>
      <c r="AG19" s="251" t="s">
        <v>140</v>
      </c>
      <c r="AH19" s="254" t="s">
        <v>141</v>
      </c>
      <c r="AI19" s="252"/>
      <c r="AJ19" s="252" t="s">
        <v>193</v>
      </c>
      <c r="AK19" s="252"/>
      <c r="AL19" s="252"/>
      <c r="AM19" s="252"/>
      <c r="AN19" s="3"/>
    </row>
    <row r="20" spans="1:40">
      <c r="A20" s="6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53" t="s">
        <v>179</v>
      </c>
      <c r="P20" s="353"/>
      <c r="Q20" s="353"/>
      <c r="R20" s="353"/>
      <c r="S20" s="353">
        <f>+D8</f>
        <v>5.8</v>
      </c>
      <c r="T20" s="353"/>
      <c r="U20" s="353" t="str">
        <f>+U18</f>
        <v xml:space="preserve"> liter</v>
      </c>
      <c r="V20" s="353"/>
      <c r="W20" s="2"/>
      <c r="X20" s="2"/>
      <c r="Y20" s="2"/>
      <c r="Z20" s="72"/>
      <c r="AA20" s="252"/>
      <c r="AB20" s="252"/>
      <c r="AC20" s="254" t="str">
        <f>AA10</f>
        <v>Vægt spand</v>
      </c>
      <c r="AD20" s="262">
        <f>AB10/1000</f>
        <v>0.17</v>
      </c>
      <c r="AE20" s="263">
        <f>AB10/1000</f>
        <v>0.17</v>
      </c>
      <c r="AF20" s="254"/>
      <c r="AG20" s="254"/>
      <c r="AH20" s="264">
        <v>0</v>
      </c>
      <c r="AI20" s="252"/>
      <c r="AJ20" s="262">
        <v>0.2</v>
      </c>
      <c r="AK20" s="252"/>
      <c r="AL20" s="252"/>
      <c r="AM20" s="252"/>
      <c r="AN20" s="3"/>
    </row>
    <row r="21" spans="1:40">
      <c r="A21" s="67"/>
      <c r="B21" s="2" t="s">
        <v>190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72"/>
      <c r="AA21" s="252"/>
      <c r="AB21" s="252"/>
      <c r="AC21" s="254" t="str">
        <f>AA11</f>
        <v>Vægt låg</v>
      </c>
      <c r="AD21" s="262">
        <f>AB11/1000</f>
        <v>0.04</v>
      </c>
      <c r="AE21" s="263">
        <f>AB11/1000</f>
        <v>0.04</v>
      </c>
      <c r="AF21" s="254"/>
      <c r="AG21" s="254"/>
      <c r="AH21" s="264">
        <v>0.05</v>
      </c>
      <c r="AI21" s="252"/>
      <c r="AJ21" s="262">
        <v>0.25</v>
      </c>
      <c r="AK21" s="252"/>
      <c r="AL21" s="252"/>
      <c r="AM21" s="252"/>
      <c r="AN21" s="3"/>
    </row>
    <row r="22" spans="1:40">
      <c r="A22" s="67"/>
      <c r="B22" s="2" t="s">
        <v>198</v>
      </c>
      <c r="C22" s="2"/>
      <c r="D22" s="186">
        <f>+C13</f>
        <v>250</v>
      </c>
      <c r="E22" s="285" t="s">
        <v>199</v>
      </c>
      <c r="F22" s="285"/>
      <c r="G22" s="285"/>
      <c r="H22" s="220">
        <f>+E15</f>
        <v>0.2</v>
      </c>
      <c r="I22" s="2" t="s">
        <v>200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72"/>
      <c r="AA22" s="252"/>
      <c r="AB22" s="252"/>
      <c r="AC22" s="252" t="str">
        <f>AA12</f>
        <v>Vægt håndtag</v>
      </c>
      <c r="AD22" s="262">
        <f>AB12/1000</f>
        <v>2.9000000000000001E-2</v>
      </c>
      <c r="AE22" s="262">
        <f>AB12/1000</f>
        <v>2.9000000000000001E-2</v>
      </c>
      <c r="AF22" s="252"/>
      <c r="AG22" s="254"/>
      <c r="AH22" s="264">
        <v>0.1</v>
      </c>
      <c r="AI22" s="252"/>
      <c r="AJ22" s="252"/>
      <c r="AK22" s="252"/>
      <c r="AL22" s="252"/>
      <c r="AM22" s="252"/>
      <c r="AN22" s="3"/>
    </row>
    <row r="23" spans="1:40">
      <c r="A23" s="67"/>
      <c r="B23" s="219" t="s">
        <v>233</v>
      </c>
      <c r="C23" s="2"/>
      <c r="D23" s="2"/>
      <c r="E23" s="2"/>
      <c r="F23" s="2"/>
      <c r="G23" s="2"/>
      <c r="H23" s="2"/>
      <c r="I23" s="2" t="s">
        <v>232</v>
      </c>
      <c r="J23" s="2"/>
      <c r="K23" s="2"/>
      <c r="L23" s="2"/>
      <c r="M23" s="2"/>
      <c r="N23" s="2"/>
      <c r="O23" s="2"/>
      <c r="P23" s="353" t="str">
        <f>+B8</f>
        <v>Højde</v>
      </c>
      <c r="Q23" s="353"/>
      <c r="R23" s="353"/>
      <c r="S23" s="353">
        <f>+C8</f>
        <v>197</v>
      </c>
      <c r="T23" s="353"/>
      <c r="U23" s="177" t="str">
        <f>+U6</f>
        <v xml:space="preserve"> mm</v>
      </c>
      <c r="V23" s="2"/>
      <c r="W23" s="2"/>
      <c r="X23" s="2"/>
      <c r="Y23" s="2"/>
      <c r="Z23" s="72"/>
      <c r="AA23" s="252"/>
      <c r="AB23" s="252"/>
      <c r="AC23" s="254" t="s">
        <v>4</v>
      </c>
      <c r="AD23" s="262">
        <f>+Saltsild!E37</f>
        <v>3.6</v>
      </c>
      <c r="AE23" s="263">
        <f>+Saltsild!E38</f>
        <v>2.88</v>
      </c>
      <c r="AF23" s="263">
        <f>AD23</f>
        <v>3.6</v>
      </c>
      <c r="AG23" s="263">
        <f>AE23</f>
        <v>2.88</v>
      </c>
      <c r="AH23" s="264">
        <v>0.15</v>
      </c>
      <c r="AI23" s="252"/>
      <c r="AJ23" s="252"/>
      <c r="AK23" s="252"/>
      <c r="AL23" s="252"/>
      <c r="AM23" s="252"/>
      <c r="AN23" s="3"/>
    </row>
    <row r="24" spans="1:40">
      <c r="A24" s="67"/>
      <c r="B24" s="2" t="s">
        <v>229</v>
      </c>
      <c r="C24" s="211">
        <f>+C13</f>
        <v>250</v>
      </c>
      <c r="D24" s="2" t="s">
        <v>230</v>
      </c>
      <c r="E24" s="73">
        <f>+C19/1000</f>
        <v>1.1154734411085452</v>
      </c>
      <c r="F24" s="2" t="s">
        <v>231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72"/>
      <c r="AA24" s="252"/>
      <c r="AB24" s="252"/>
      <c r="AC24" s="254" t="s">
        <v>0</v>
      </c>
      <c r="AD24" s="262">
        <f>+AD23*Saltsild!P7</f>
        <v>0.9</v>
      </c>
      <c r="AE24" s="263">
        <f>+AE23*Saltsild!P7</f>
        <v>0.72</v>
      </c>
      <c r="AF24" s="263">
        <f>AD24/G13</f>
        <v>0.41570438799076215</v>
      </c>
      <c r="AG24" s="263">
        <f>AE24/G13</f>
        <v>0.33256351039260967</v>
      </c>
      <c r="AH24" s="264">
        <v>0.2</v>
      </c>
      <c r="AI24" s="252"/>
      <c r="AJ24" s="252"/>
      <c r="AK24" s="252"/>
      <c r="AL24" s="252"/>
      <c r="AM24" s="252"/>
      <c r="AN24" s="3"/>
    </row>
    <row r="25" spans="1:40">
      <c r="A25" s="6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72"/>
      <c r="AA25" s="252"/>
      <c r="AB25" s="252"/>
      <c r="AC25" s="254" t="s">
        <v>142</v>
      </c>
      <c r="AD25" s="262">
        <f>+AD23*Saltsild!K40/1000</f>
        <v>3.5999999999999997E-2</v>
      </c>
      <c r="AE25" s="263">
        <f>+AE23*Saltsild!K40/1000</f>
        <v>2.8799999999999996E-2</v>
      </c>
      <c r="AF25" s="263"/>
      <c r="AG25" s="254"/>
      <c r="AH25" s="264">
        <v>0.25</v>
      </c>
      <c r="AI25" s="252"/>
      <c r="AJ25" s="252"/>
      <c r="AK25" s="252"/>
      <c r="AL25" s="252"/>
      <c r="AM25" s="252"/>
      <c r="AN25" s="3"/>
    </row>
    <row r="26" spans="1:40" ht="15.75" thickBot="1">
      <c r="A26" s="6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78"/>
      <c r="P26" s="356" t="str">
        <f>+B7</f>
        <v>Bund diameter</v>
      </c>
      <c r="Q26" s="356"/>
      <c r="R26" s="356"/>
      <c r="S26" s="356">
        <f>+C7</f>
        <v>193</v>
      </c>
      <c r="T26" s="356"/>
      <c r="U26" s="179" t="str">
        <f>+U6</f>
        <v xml:space="preserve"> mm</v>
      </c>
      <c r="V26" s="178"/>
      <c r="W26" s="2"/>
      <c r="X26" s="2"/>
      <c r="Y26" s="2"/>
      <c r="Z26" s="72"/>
      <c r="AA26" s="252"/>
      <c r="AB26" s="252"/>
      <c r="AC26" s="254" t="s">
        <v>164</v>
      </c>
      <c r="AD26" s="263">
        <f>+AF26*G19</f>
        <v>1.1206004140786749</v>
      </c>
      <c r="AE26" s="263">
        <f>+AG26*G19</f>
        <v>1.1206004140786749</v>
      </c>
      <c r="AF26" s="263">
        <f>+H9</f>
        <v>1</v>
      </c>
      <c r="AG26" s="263">
        <f>+AF26</f>
        <v>1</v>
      </c>
      <c r="AH26" s="264"/>
      <c r="AI26" s="252"/>
      <c r="AJ26" s="252"/>
      <c r="AK26" s="252"/>
      <c r="AL26" s="252"/>
      <c r="AM26" s="252"/>
      <c r="AN26" s="3"/>
    </row>
    <row r="27" spans="1:40" ht="15.75" thickTop="1">
      <c r="A27" s="6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72"/>
      <c r="AA27" s="252"/>
      <c r="AB27" s="252"/>
      <c r="AC27" s="254" t="s">
        <v>143</v>
      </c>
      <c r="AD27" s="263">
        <f>SUM(AD20:AD26)</f>
        <v>5.8956004140786744</v>
      </c>
      <c r="AE27" s="263">
        <f>SUM(AE20:AE26)</f>
        <v>4.988400414078674</v>
      </c>
      <c r="AF27" s="263"/>
      <c r="AG27" s="254"/>
      <c r="AH27" s="254"/>
      <c r="AI27" s="252"/>
      <c r="AJ27" s="252"/>
      <c r="AK27" s="252"/>
      <c r="AL27" s="252"/>
      <c r="AM27" s="252"/>
      <c r="AN27" s="3"/>
    </row>
    <row r="28" spans="1:40">
      <c r="A28" s="67"/>
      <c r="B28" s="2"/>
      <c r="C28" s="318" t="s">
        <v>56</v>
      </c>
      <c r="D28" s="318"/>
      <c r="E28" s="318"/>
      <c r="F28" s="318"/>
      <c r="G28" s="318"/>
      <c r="H28" s="318"/>
      <c r="I28" s="318"/>
      <c r="J28" s="318"/>
      <c r="K28" s="318"/>
      <c r="L28" s="2"/>
      <c r="M28" s="2"/>
      <c r="N28" s="2"/>
      <c r="O28" s="2" t="str">
        <f>+B4</f>
        <v>Formel V=π*r²*h</v>
      </c>
      <c r="P28" s="2"/>
      <c r="Q28" s="2"/>
      <c r="R28" s="2"/>
      <c r="S28" s="355">
        <f>PI()*(S16/200)^2*S23/100</f>
        <v>6.6618110355379336</v>
      </c>
      <c r="T28" s="355"/>
      <c r="U28" s="355" t="str">
        <f>+D4</f>
        <v xml:space="preserve"> liter</v>
      </c>
      <c r="V28" s="355"/>
      <c r="W28" s="355" t="str">
        <f>+D5</f>
        <v>Brutto</v>
      </c>
      <c r="X28" s="285"/>
      <c r="Y28" s="2"/>
      <c r="Z28" s="72"/>
      <c r="AA28" s="254"/>
      <c r="AB28" s="254"/>
      <c r="AC28" s="254" t="s">
        <v>170</v>
      </c>
      <c r="AD28" s="259">
        <f>ROUND(AD27,1)</f>
        <v>5.9</v>
      </c>
      <c r="AE28" s="259">
        <f>ROUND(AE27,1)</f>
        <v>5</v>
      </c>
      <c r="AF28" s="263"/>
      <c r="AG28" s="254"/>
      <c r="AH28" s="254"/>
      <c r="AI28" s="252"/>
      <c r="AJ28" s="252"/>
      <c r="AK28" s="252"/>
      <c r="AL28" s="252"/>
      <c r="AM28" s="252"/>
      <c r="AN28" s="3"/>
    </row>
    <row r="29" spans="1:40">
      <c r="A29" s="67"/>
      <c r="B29" s="2"/>
      <c r="C29" s="375"/>
      <c r="D29" s="375"/>
      <c r="E29" s="375"/>
      <c r="F29" s="375"/>
      <c r="G29" s="375"/>
      <c r="H29" s="375"/>
      <c r="I29" s="375"/>
      <c r="J29" s="375"/>
      <c r="K29" s="375"/>
      <c r="L29" s="2"/>
      <c r="M29" s="2"/>
      <c r="N29" s="2"/>
      <c r="O29" s="285" t="s">
        <v>180</v>
      </c>
      <c r="P29" s="285"/>
      <c r="Q29" s="285"/>
      <c r="R29" s="285"/>
      <c r="S29" s="285"/>
      <c r="T29" s="285"/>
      <c r="U29" s="285"/>
      <c r="V29" s="285"/>
      <c r="W29" s="285"/>
      <c r="X29" s="285"/>
      <c r="Y29" s="2"/>
      <c r="Z29" s="72"/>
      <c r="AA29" s="254"/>
      <c r="AB29" s="254"/>
      <c r="AC29" s="265" t="s">
        <v>169</v>
      </c>
      <c r="AD29" s="254"/>
      <c r="AE29" s="254"/>
      <c r="AF29" s="263">
        <f>SUM(AF23:AF26)</f>
        <v>5.0157043879907626</v>
      </c>
      <c r="AG29" s="263">
        <f>SUM(AG23:AG26)</f>
        <v>4.2125635103926093</v>
      </c>
      <c r="AH29" s="254"/>
      <c r="AI29" s="252"/>
      <c r="AJ29" s="252"/>
      <c r="AK29" s="252"/>
      <c r="AL29" s="252"/>
      <c r="AM29" s="252"/>
      <c r="AN29" s="3"/>
    </row>
    <row r="30" spans="1:40">
      <c r="A30" s="67"/>
      <c r="B30" s="2"/>
      <c r="C30" s="320" t="s">
        <v>57</v>
      </c>
      <c r="D30" s="320"/>
      <c r="E30" s="320"/>
      <c r="F30" s="320"/>
      <c r="G30" s="320"/>
      <c r="H30" s="320"/>
      <c r="I30" s="320"/>
      <c r="J30" s="320"/>
      <c r="K30" s="320"/>
      <c r="L30" s="2"/>
      <c r="M30" s="2"/>
      <c r="N30" s="2" t="s">
        <v>181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72"/>
      <c r="AA30" s="254"/>
      <c r="AB30" s="254"/>
      <c r="AC30" s="265" t="s">
        <v>171</v>
      </c>
      <c r="AD30" s="254"/>
      <c r="AE30" s="254"/>
      <c r="AF30" s="259">
        <f>ROUND(AF29,1)</f>
        <v>5</v>
      </c>
      <c r="AG30" s="259">
        <f>ROUND(AG29,1)</f>
        <v>4.2</v>
      </c>
      <c r="AH30" s="254"/>
      <c r="AI30" s="252"/>
      <c r="AJ30" s="252"/>
      <c r="AK30" s="252"/>
      <c r="AL30" s="252"/>
      <c r="AM30" s="252"/>
      <c r="AN30" s="3"/>
    </row>
    <row r="31" spans="1:40" ht="18.75">
      <c r="A31" s="67"/>
      <c r="B31" s="2"/>
      <c r="C31" s="322" t="s">
        <v>58</v>
      </c>
      <c r="D31" s="322"/>
      <c r="E31" s="322"/>
      <c r="F31" s="322"/>
      <c r="G31" s="322"/>
      <c r="H31" s="322"/>
      <c r="I31" s="322"/>
      <c r="J31" s="322"/>
      <c r="K31" s="322"/>
      <c r="L31" s="2"/>
      <c r="M31" s="2"/>
      <c r="N31" s="2" t="s">
        <v>182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72"/>
      <c r="AA31" s="254"/>
      <c r="AB31" s="254"/>
      <c r="AC31" s="265" t="s">
        <v>172</v>
      </c>
      <c r="AD31" s="256">
        <f>H5</f>
        <v>0.05</v>
      </c>
      <c r="AE31" s="254"/>
      <c r="AF31" s="259">
        <f>ROUND(AF30+(AF30*AD31),1)</f>
        <v>5.3</v>
      </c>
      <c r="AG31" s="259">
        <f>ROUND(AG30+(AG30*AD31),1)</f>
        <v>4.4000000000000004</v>
      </c>
      <c r="AH31" s="254"/>
      <c r="AI31" s="252"/>
      <c r="AJ31" s="252"/>
      <c r="AK31" s="252"/>
      <c r="AL31" s="252"/>
      <c r="AM31" s="252"/>
      <c r="AN31" s="3"/>
    </row>
    <row r="32" spans="1:40">
      <c r="A32" s="6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 t="s">
        <v>183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72"/>
      <c r="AA32" s="254"/>
      <c r="AB32" s="254"/>
      <c r="AC32" s="254" t="s">
        <v>144</v>
      </c>
      <c r="AD32" s="254"/>
      <c r="AE32" s="254"/>
      <c r="AF32" s="251" t="s">
        <v>139</v>
      </c>
      <c r="AG32" s="251" t="s">
        <v>140</v>
      </c>
      <c r="AH32" s="254"/>
      <c r="AI32" s="252"/>
      <c r="AJ32" s="252"/>
      <c r="AK32" s="252"/>
      <c r="AL32" s="252"/>
      <c r="AM32" s="252"/>
      <c r="AN32" s="3"/>
    </row>
    <row r="33" spans="1:40">
      <c r="A33" s="6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 t="s">
        <v>184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72"/>
      <c r="AA33" s="254"/>
      <c r="AB33" s="254"/>
      <c r="AC33" s="254" t="s">
        <v>237</v>
      </c>
      <c r="AD33" s="254"/>
      <c r="AE33" s="254"/>
      <c r="AF33" s="263">
        <f>(AF30/(PI()*($C$6/200)^2))*10</f>
        <v>14.785769136131947</v>
      </c>
      <c r="AG33" s="263">
        <f>(AG30/(PI()*($C$6/200)^2))*10</f>
        <v>12.420046074350836</v>
      </c>
      <c r="AH33" s="254" t="s">
        <v>145</v>
      </c>
      <c r="AI33" s="252"/>
      <c r="AJ33" s="252"/>
      <c r="AK33" s="252"/>
      <c r="AL33" s="252"/>
      <c r="AM33" s="252"/>
      <c r="AN33" s="3"/>
    </row>
    <row r="34" spans="1:40">
      <c r="A34" s="6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 t="s">
        <v>185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72"/>
      <c r="AA34" s="254"/>
      <c r="AB34" s="254"/>
      <c r="AC34" s="254" t="s">
        <v>173</v>
      </c>
      <c r="AD34" s="252"/>
      <c r="AE34" s="252"/>
      <c r="AF34" s="266">
        <f>ROUND(AF33*10,0)</f>
        <v>148</v>
      </c>
      <c r="AG34" s="266">
        <f>ROUND(AG33*10,0)</f>
        <v>124</v>
      </c>
      <c r="AH34" s="254" t="s">
        <v>146</v>
      </c>
      <c r="AI34" s="252"/>
      <c r="AJ34" s="252"/>
      <c r="AK34" s="252"/>
      <c r="AL34" s="252"/>
      <c r="AM34" s="252"/>
      <c r="AN34" s="3"/>
    </row>
    <row r="35" spans="1:40">
      <c r="A35" s="6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72"/>
      <c r="AA35" s="254"/>
      <c r="AB35" s="252"/>
      <c r="AC35" s="251" t="str">
        <f>+Saltsild!K37</f>
        <v>uden hoved</v>
      </c>
      <c r="AD35" s="252"/>
      <c r="AE35" s="255" t="s">
        <v>147</v>
      </c>
      <c r="AF35" s="255" t="s">
        <v>103</v>
      </c>
      <c r="AG35" s="251" t="s">
        <v>148</v>
      </c>
      <c r="AH35" s="251" t="s">
        <v>174</v>
      </c>
      <c r="AI35" s="255" t="s">
        <v>175</v>
      </c>
      <c r="AJ35" s="252"/>
      <c r="AK35" s="252"/>
      <c r="AL35" s="252"/>
      <c r="AM35" s="252"/>
      <c r="AN35" s="3"/>
    </row>
    <row r="36" spans="1:40">
      <c r="A36" s="6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72"/>
      <c r="AA36" s="254"/>
      <c r="AB36" s="254" t="str">
        <f>AE35</f>
        <v xml:space="preserve"> kg </v>
      </c>
      <c r="AC36" s="267">
        <f>VLOOKUP($AC$35,$AD$36:$AI$39,2)</f>
        <v>5</v>
      </c>
      <c r="AD36" s="268" t="s">
        <v>14</v>
      </c>
      <c r="AE36" s="259">
        <f>AD28</f>
        <v>5.9</v>
      </c>
      <c r="AF36" s="259">
        <f>AF31</f>
        <v>5.3</v>
      </c>
      <c r="AG36" s="266">
        <f>+AF34</f>
        <v>148</v>
      </c>
      <c r="AH36" s="263">
        <f>+Saltsild!E37</f>
        <v>3.6</v>
      </c>
      <c r="AI36" s="262">
        <f>+Saltsild!E37*Saltsild!P7</f>
        <v>0.9</v>
      </c>
      <c r="AJ36" s="252"/>
      <c r="AK36" s="252"/>
      <c r="AL36" s="252"/>
      <c r="AM36" s="252"/>
      <c r="AN36" s="3"/>
    </row>
    <row r="37" spans="1:40">
      <c r="A37" s="6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72"/>
      <c r="AA37" s="254"/>
      <c r="AB37" s="254" t="str">
        <f>AF35</f>
        <v xml:space="preserve"> liter </v>
      </c>
      <c r="AC37" s="267">
        <f>VLOOKUP($AC$35,$AD$36:$AI$39,3)</f>
        <v>4.4000000000000004</v>
      </c>
      <c r="AD37" s="268" t="s">
        <v>15</v>
      </c>
      <c r="AE37" s="259">
        <f>AE28</f>
        <v>5</v>
      </c>
      <c r="AF37" s="259">
        <f>AG31</f>
        <v>4.4000000000000004</v>
      </c>
      <c r="AG37" s="266">
        <f>+AG34</f>
        <v>124</v>
      </c>
      <c r="AH37" s="263">
        <f>+Saltsild!E38</f>
        <v>2.88</v>
      </c>
      <c r="AI37" s="262">
        <f>+Saltsild!E38*Saltsild!P7</f>
        <v>0.72</v>
      </c>
      <c r="AJ37" s="252"/>
      <c r="AK37" s="252"/>
      <c r="AL37" s="252"/>
      <c r="AM37" s="252"/>
      <c r="AN37" s="3"/>
    </row>
    <row r="38" spans="1:40">
      <c r="A38" s="6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72"/>
      <c r="AA38" s="254"/>
      <c r="AB38" s="254" t="str">
        <f>AG35</f>
        <v xml:space="preserve"> mm</v>
      </c>
      <c r="AC38" s="269">
        <f>VLOOKUP($AC$35,$AD$36:$AI$39,4)</f>
        <v>124</v>
      </c>
      <c r="AD38" s="254"/>
      <c r="AE38" s="254"/>
      <c r="AF38" s="254"/>
      <c r="AG38" s="254"/>
      <c r="AH38" s="254"/>
      <c r="AI38" s="252"/>
      <c r="AJ38" s="252"/>
      <c r="AK38" s="252"/>
      <c r="AL38" s="252"/>
      <c r="AM38" s="252"/>
      <c r="AN38" s="3"/>
    </row>
    <row r="39" spans="1:40">
      <c r="A39" s="6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72"/>
      <c r="AA39" s="254"/>
      <c r="AB39" s="254" t="str">
        <f>+AH35</f>
        <v xml:space="preserve"> Sild</v>
      </c>
      <c r="AC39" s="270">
        <f>VLOOKUP($AC$35,$AD$36:$AI$39,5)</f>
        <v>2.88</v>
      </c>
      <c r="AD39" s="254"/>
      <c r="AE39" s="254"/>
      <c r="AF39" s="254"/>
      <c r="AG39" s="254"/>
      <c r="AH39" s="254"/>
      <c r="AI39" s="252"/>
      <c r="AJ39" s="252"/>
      <c r="AK39" s="252"/>
      <c r="AL39" s="252"/>
      <c r="AM39" s="252"/>
      <c r="AN39" s="3"/>
    </row>
    <row r="40" spans="1:40" ht="15.75" thickBot="1">
      <c r="A40" s="61"/>
      <c r="B40" s="76" t="s">
        <v>55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316" t="s">
        <v>54</v>
      </c>
      <c r="Y40" s="316"/>
      <c r="Z40" s="317"/>
      <c r="AA40" s="254"/>
      <c r="AB40" s="254" t="str">
        <f>+AI35</f>
        <v xml:space="preserve"> Salt</v>
      </c>
      <c r="AC40" s="270">
        <f>VLOOKUP($AC$35,$AD$36:$AI$39,6)</f>
        <v>0.72</v>
      </c>
      <c r="AD40" s="254"/>
      <c r="AE40" s="254"/>
      <c r="AF40" s="254"/>
      <c r="AG40" s="254"/>
      <c r="AH40" s="254"/>
      <c r="AI40" s="252"/>
      <c r="AJ40" s="252"/>
      <c r="AK40" s="252"/>
      <c r="AL40" s="252"/>
      <c r="AM40" s="252"/>
      <c r="AN40" s="3"/>
    </row>
    <row r="41" spans="1:40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254"/>
      <c r="AB41" s="252" t="s">
        <v>222</v>
      </c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3"/>
    </row>
    <row r="42" spans="1:40">
      <c r="A42" s="197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254"/>
      <c r="AB42" s="254" t="s">
        <v>225</v>
      </c>
      <c r="AC42" s="254"/>
      <c r="AD42" s="271">
        <f>+AD31*100</f>
        <v>5</v>
      </c>
      <c r="AE42" s="254" t="s">
        <v>226</v>
      </c>
      <c r="AF42" s="254"/>
      <c r="AG42" s="254"/>
      <c r="AH42" s="254"/>
      <c r="AI42" s="252"/>
      <c r="AJ42" s="252"/>
      <c r="AK42" s="252"/>
      <c r="AL42" s="252"/>
      <c r="AM42" s="252"/>
      <c r="AN42" s="3"/>
    </row>
    <row r="43" spans="1:40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6"/>
      <c r="AB43" s="196"/>
      <c r="AC43" s="196"/>
      <c r="AD43" s="196"/>
      <c r="AE43" s="196"/>
      <c r="AF43" s="196"/>
      <c r="AG43" s="196"/>
      <c r="AH43" s="196"/>
      <c r="AI43" s="195"/>
      <c r="AJ43" s="195"/>
      <c r="AK43" s="195"/>
      <c r="AL43" s="195"/>
      <c r="AM43" s="195"/>
      <c r="AN43" s="3"/>
    </row>
    <row r="44" spans="1:40">
      <c r="A44" s="197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6"/>
      <c r="AB44" s="196"/>
      <c r="AC44" s="196"/>
      <c r="AD44" s="196"/>
      <c r="AE44" s="196"/>
      <c r="AF44" s="196"/>
      <c r="AG44" s="196"/>
      <c r="AH44" s="196"/>
      <c r="AI44" s="195"/>
      <c r="AJ44" s="195"/>
      <c r="AK44" s="195"/>
      <c r="AL44" s="195"/>
      <c r="AM44" s="195"/>
      <c r="AN44" s="3"/>
    </row>
    <row r="45" spans="1:40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6"/>
      <c r="AB45" s="196"/>
      <c r="AC45" s="196"/>
      <c r="AD45" s="196"/>
      <c r="AE45" s="196"/>
      <c r="AF45" s="196"/>
      <c r="AG45" s="196"/>
      <c r="AH45" s="196"/>
      <c r="AI45" s="195"/>
      <c r="AJ45" s="195"/>
      <c r="AK45" s="195"/>
      <c r="AL45" s="195"/>
      <c r="AM45" s="195"/>
      <c r="AN45" s="3"/>
    </row>
    <row r="46" spans="1:40">
      <c r="Z46" s="3"/>
      <c r="AA46" s="140"/>
      <c r="AB46" s="140"/>
      <c r="AC46" s="140"/>
      <c r="AD46" s="140"/>
      <c r="AE46" s="140"/>
      <c r="AF46" s="140"/>
      <c r="AG46" s="140"/>
      <c r="AH46" s="140"/>
      <c r="AI46" s="139"/>
      <c r="AJ46" s="139"/>
      <c r="AK46" s="139"/>
      <c r="AL46" s="139"/>
      <c r="AM46" s="139"/>
      <c r="AN46" s="3"/>
    </row>
    <row r="47" spans="1:40">
      <c r="Z47" s="3"/>
      <c r="AA47" s="140"/>
      <c r="AB47" s="140"/>
      <c r="AC47" s="140"/>
      <c r="AD47" s="140"/>
      <c r="AE47" s="140"/>
      <c r="AF47" s="140"/>
      <c r="AG47" s="140"/>
      <c r="AH47" s="140"/>
      <c r="AI47" s="139"/>
      <c r="AJ47" s="139"/>
      <c r="AK47" s="139"/>
      <c r="AL47" s="139"/>
      <c r="AM47" s="139"/>
      <c r="AN47" s="3"/>
    </row>
    <row r="48" spans="1:40">
      <c r="Z48" s="3"/>
      <c r="AA48" s="140"/>
      <c r="AB48" s="140"/>
      <c r="AC48" s="140"/>
      <c r="AD48" s="140"/>
      <c r="AE48" s="140"/>
      <c r="AF48" s="140"/>
      <c r="AG48" s="140"/>
      <c r="AH48" s="140"/>
      <c r="AI48" s="139"/>
      <c r="AJ48" s="139"/>
      <c r="AK48" s="139"/>
      <c r="AL48" s="139"/>
      <c r="AM48" s="139"/>
      <c r="AN48" s="3"/>
    </row>
    <row r="49" spans="26:40">
      <c r="Z49" s="3"/>
      <c r="AA49" s="140"/>
      <c r="AB49" s="140"/>
      <c r="AC49" s="140"/>
      <c r="AD49" s="140"/>
      <c r="AE49" s="140"/>
      <c r="AF49" s="140"/>
      <c r="AG49" s="140"/>
      <c r="AH49" s="140"/>
      <c r="AI49" s="139"/>
      <c r="AJ49" s="139"/>
      <c r="AK49" s="139"/>
      <c r="AL49" s="139"/>
      <c r="AM49" s="139"/>
      <c r="AN49" s="3"/>
    </row>
    <row r="50" spans="26:40">
      <c r="Z50" s="3"/>
      <c r="AA50" s="140"/>
      <c r="AB50" s="140"/>
      <c r="AC50" s="140"/>
      <c r="AD50" s="140"/>
      <c r="AE50" s="140"/>
      <c r="AF50" s="140"/>
      <c r="AG50" s="140"/>
      <c r="AH50" s="140"/>
      <c r="AI50" s="139"/>
      <c r="AJ50" s="139"/>
      <c r="AK50" s="139"/>
      <c r="AL50" s="139"/>
      <c r="AM50" s="139"/>
      <c r="AN50" s="3"/>
    </row>
    <row r="51" spans="26:40">
      <c r="Z51" s="3"/>
      <c r="AA51" s="141"/>
      <c r="AB51" s="141"/>
      <c r="AC51" s="141"/>
      <c r="AD51" s="141"/>
      <c r="AE51" s="141"/>
      <c r="AF51" s="141"/>
      <c r="AG51" s="141"/>
      <c r="AH51" s="141"/>
      <c r="AI51" s="142"/>
      <c r="AJ51" s="142"/>
      <c r="AK51" s="142"/>
      <c r="AL51" s="142"/>
      <c r="AM51" s="142"/>
      <c r="AN51" s="3"/>
    </row>
    <row r="52" spans="26:40">
      <c r="Z52" s="3"/>
      <c r="AA52" s="141"/>
      <c r="AB52" s="141"/>
      <c r="AC52" s="141"/>
      <c r="AD52" s="141"/>
      <c r="AE52" s="141"/>
      <c r="AF52" s="141"/>
      <c r="AG52" s="141"/>
      <c r="AH52" s="141"/>
      <c r="AI52" s="142"/>
      <c r="AJ52" s="142"/>
      <c r="AK52" s="142"/>
      <c r="AL52" s="142"/>
      <c r="AM52" s="142"/>
      <c r="AN52" s="3"/>
    </row>
    <row r="53" spans="26:40">
      <c r="Z53" s="3"/>
      <c r="AA53" s="141"/>
      <c r="AB53" s="141"/>
      <c r="AC53" s="141"/>
      <c r="AD53" s="141"/>
      <c r="AE53" s="141"/>
      <c r="AF53" s="141"/>
      <c r="AG53" s="141"/>
      <c r="AH53" s="141"/>
      <c r="AI53" s="142"/>
      <c r="AJ53" s="142"/>
      <c r="AK53" s="142"/>
      <c r="AL53" s="142"/>
      <c r="AM53" s="142"/>
      <c r="AN53" s="3"/>
    </row>
    <row r="54" spans="26:40">
      <c r="Z54" s="3"/>
      <c r="AA54" s="141"/>
      <c r="AB54" s="141"/>
      <c r="AC54" s="141"/>
      <c r="AD54" s="141"/>
      <c r="AE54" s="141"/>
      <c r="AF54" s="141"/>
      <c r="AG54" s="141"/>
      <c r="AH54" s="141"/>
      <c r="AI54" s="142"/>
      <c r="AJ54" s="142"/>
      <c r="AK54" s="142"/>
      <c r="AL54" s="142"/>
      <c r="AM54" s="142"/>
      <c r="AN54" s="3"/>
    </row>
    <row r="55" spans="26:40">
      <c r="Z55" s="3"/>
      <c r="AA55" s="141"/>
      <c r="AB55" s="141"/>
      <c r="AC55" s="141"/>
      <c r="AD55" s="141"/>
      <c r="AE55" s="141"/>
      <c r="AF55" s="141"/>
      <c r="AG55" s="141"/>
      <c r="AH55" s="141"/>
      <c r="AI55" s="142"/>
      <c r="AJ55" s="142"/>
      <c r="AK55" s="142"/>
      <c r="AL55" s="142"/>
      <c r="AM55" s="142"/>
      <c r="AN55" s="3"/>
    </row>
    <row r="56" spans="26:40">
      <c r="Z56" s="3"/>
      <c r="AA56" s="141"/>
      <c r="AB56" s="141"/>
      <c r="AC56" s="141"/>
      <c r="AD56" s="141"/>
      <c r="AE56" s="141"/>
      <c r="AF56" s="141"/>
      <c r="AG56" s="141"/>
      <c r="AH56" s="141"/>
      <c r="AI56" s="142"/>
      <c r="AJ56" s="142"/>
      <c r="AK56" s="142"/>
      <c r="AL56" s="142"/>
      <c r="AM56" s="142"/>
      <c r="AN56" s="3"/>
    </row>
    <row r="57" spans="26:40">
      <c r="Z57" s="3"/>
      <c r="AA57" s="141"/>
      <c r="AB57" s="141"/>
      <c r="AC57" s="141"/>
      <c r="AD57" s="141"/>
      <c r="AE57" s="141"/>
      <c r="AF57" s="141"/>
      <c r="AG57" s="141"/>
      <c r="AH57" s="141"/>
      <c r="AI57" s="142"/>
      <c r="AJ57" s="142"/>
      <c r="AK57" s="142"/>
      <c r="AL57" s="142"/>
      <c r="AM57" s="142"/>
      <c r="AN57" s="3"/>
    </row>
    <row r="58" spans="26:40">
      <c r="Z58" s="3"/>
      <c r="AA58" s="141"/>
      <c r="AB58" s="141"/>
      <c r="AC58" s="141"/>
      <c r="AD58" s="141"/>
      <c r="AE58" s="141"/>
      <c r="AF58" s="141"/>
      <c r="AG58" s="141"/>
      <c r="AH58" s="141"/>
      <c r="AI58" s="142"/>
      <c r="AJ58" s="142"/>
      <c r="AK58" s="142"/>
      <c r="AL58" s="142"/>
      <c r="AM58" s="142"/>
      <c r="AN58" s="3"/>
    </row>
    <row r="59" spans="26:40">
      <c r="Z59" s="3"/>
      <c r="AA59" s="141"/>
      <c r="AB59" s="141"/>
      <c r="AC59" s="141"/>
      <c r="AD59" s="141"/>
      <c r="AE59" s="141"/>
      <c r="AF59" s="141"/>
      <c r="AG59" s="141"/>
      <c r="AH59" s="141"/>
      <c r="AI59" s="142"/>
      <c r="AJ59" s="142"/>
      <c r="AK59" s="142"/>
      <c r="AL59" s="142"/>
      <c r="AM59" s="142"/>
      <c r="AN59" s="3"/>
    </row>
    <row r="60" spans="26:40">
      <c r="Z60" s="3"/>
      <c r="AA60" s="143"/>
      <c r="AB60" s="143"/>
      <c r="AC60" s="141"/>
      <c r="AD60" s="141"/>
      <c r="AE60" s="141"/>
      <c r="AF60" s="141"/>
      <c r="AG60" s="141"/>
      <c r="AH60" s="141"/>
      <c r="AI60" s="142"/>
      <c r="AJ60" s="142"/>
      <c r="AK60" s="142"/>
      <c r="AL60" s="142"/>
      <c r="AM60" s="142"/>
      <c r="AN60" s="3"/>
    </row>
    <row r="61" spans="26:40">
      <c r="Z61" s="3"/>
      <c r="AA61" s="142"/>
      <c r="AB61" s="142"/>
      <c r="AC61" s="142"/>
      <c r="AD61" s="141"/>
      <c r="AE61" s="141"/>
      <c r="AF61" s="141"/>
      <c r="AG61" s="141"/>
      <c r="AH61" s="142"/>
      <c r="AI61" s="142"/>
      <c r="AJ61" s="142"/>
      <c r="AK61" s="142"/>
      <c r="AL61" s="142"/>
      <c r="AM61" s="142"/>
      <c r="AN61" s="3"/>
    </row>
    <row r="62" spans="26:40">
      <c r="Z62" s="3"/>
      <c r="AA62" s="142"/>
      <c r="AB62" s="142"/>
      <c r="AC62" s="142"/>
      <c r="AD62" s="141"/>
      <c r="AE62" s="141"/>
      <c r="AF62" s="141"/>
      <c r="AG62" s="141"/>
      <c r="AH62" s="142"/>
      <c r="AI62" s="142"/>
      <c r="AJ62" s="142"/>
      <c r="AK62" s="142"/>
      <c r="AL62" s="142"/>
      <c r="AM62" s="142"/>
      <c r="AN62" s="3"/>
    </row>
    <row r="63" spans="26:40"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26:40"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26:40"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26:40"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26:40"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26:40"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</sheetData>
  <mergeCells count="42">
    <mergeCell ref="X40:Z40"/>
    <mergeCell ref="AD1:AF1"/>
    <mergeCell ref="AJ1:AL1"/>
    <mergeCell ref="AD18:AE18"/>
    <mergeCell ref="AF18:AG18"/>
    <mergeCell ref="X8:Y8"/>
    <mergeCell ref="X9:Y9"/>
    <mergeCell ref="A1:Y1"/>
    <mergeCell ref="E12:F12"/>
    <mergeCell ref="E13:F13"/>
    <mergeCell ref="E19:F19"/>
    <mergeCell ref="O20:R20"/>
    <mergeCell ref="B2:D2"/>
    <mergeCell ref="B3:C3"/>
    <mergeCell ref="B11:K11"/>
    <mergeCell ref="N3:T3"/>
    <mergeCell ref="U3:W3"/>
    <mergeCell ref="P6:R6"/>
    <mergeCell ref="S6:T6"/>
    <mergeCell ref="O10:Q10"/>
    <mergeCell ref="S10:T10"/>
    <mergeCell ref="N11:O11"/>
    <mergeCell ref="S28:T28"/>
    <mergeCell ref="U28:V28"/>
    <mergeCell ref="W28:X28"/>
    <mergeCell ref="O29:X29"/>
    <mergeCell ref="P11:U11"/>
    <mergeCell ref="S20:T20"/>
    <mergeCell ref="U20:V20"/>
    <mergeCell ref="P23:R23"/>
    <mergeCell ref="S23:T23"/>
    <mergeCell ref="P26:R26"/>
    <mergeCell ref="S26:T26"/>
    <mergeCell ref="P16:R16"/>
    <mergeCell ref="S16:T16"/>
    <mergeCell ref="O18:R18"/>
    <mergeCell ref="S18:T18"/>
    <mergeCell ref="U18:V18"/>
    <mergeCell ref="C28:K28"/>
    <mergeCell ref="C30:K30"/>
    <mergeCell ref="C31:K31"/>
    <mergeCell ref="E22:G22"/>
  </mergeCells>
  <dataValidations count="2">
    <dataValidation type="list" allowBlank="1" showInputMessage="1" showErrorMessage="1" sqref="H5">
      <formula1>$AH$20:$AH$25</formula1>
    </dataValidation>
    <dataValidation type="list" allowBlank="1" showInputMessage="1" showErrorMessage="1" sqref="H7">
      <formula1>$AC$3:$AC$17</formula1>
    </dataValidation>
  </dataValidations>
  <hyperlinks>
    <hyperlink ref="B2" r:id="rId1"/>
    <hyperlink ref="C30" r:id="rId2"/>
  </hyperlinks>
  <pageMargins left="0.7" right="0.7" top="0.75" bottom="0.75" header="0.3" footer="0.3"/>
  <pageSetup paperSize="9" orientation="portrait" r:id="rId3"/>
  <ignoredErrors>
    <ignoredError sqref="AL15" formula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sqref="A1:M1"/>
    </sheetView>
  </sheetViews>
  <sheetFormatPr defaultColWidth="8.85546875" defaultRowHeight="15.75"/>
  <cols>
    <col min="1" max="1" width="8.7109375" style="222" bestFit="1" customWidth="1"/>
    <col min="2" max="2" width="6.28515625" style="222" customWidth="1"/>
    <col min="3" max="3" width="7.42578125" style="222" customWidth="1"/>
    <col min="4" max="4" width="7.140625" style="222" customWidth="1"/>
    <col min="5" max="5" width="13.42578125" style="222" bestFit="1" customWidth="1"/>
    <col min="6" max="6" width="11.28515625" style="222" customWidth="1"/>
    <col min="7" max="7" width="7.7109375" style="222" customWidth="1"/>
    <col min="8" max="8" width="9.28515625" style="222" customWidth="1"/>
    <col min="9" max="9" width="13.42578125" style="222" customWidth="1"/>
    <col min="10" max="10" width="8.85546875" style="222"/>
    <col min="11" max="11" width="22.28515625" style="222" customWidth="1"/>
    <col min="12" max="12" width="18.28515625" style="222" customWidth="1"/>
    <col min="13" max="13" width="99.5703125" style="223" customWidth="1"/>
    <col min="14" max="16384" width="8.85546875" style="221"/>
  </cols>
  <sheetData>
    <row r="1" spans="1:19" ht="21" customHeight="1" thickBot="1">
      <c r="A1" s="371" t="s">
        <v>214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3"/>
      <c r="N1" s="237"/>
      <c r="O1" s="237"/>
      <c r="P1" s="237"/>
    </row>
    <row r="2" spans="1:19" ht="38.450000000000003" customHeight="1">
      <c r="A2" s="224" t="s">
        <v>201</v>
      </c>
      <c r="B2" s="225" t="s">
        <v>210</v>
      </c>
      <c r="C2" s="225" t="s">
        <v>205</v>
      </c>
      <c r="D2" s="225" t="s">
        <v>206</v>
      </c>
      <c r="E2" s="240" t="s">
        <v>207</v>
      </c>
      <c r="F2" s="226" t="s">
        <v>203</v>
      </c>
      <c r="G2" s="225" t="s">
        <v>208</v>
      </c>
      <c r="H2" s="225" t="s">
        <v>209</v>
      </c>
      <c r="I2" s="225" t="s">
        <v>217</v>
      </c>
      <c r="J2" s="225" t="s">
        <v>211</v>
      </c>
      <c r="K2" s="225" t="s">
        <v>239</v>
      </c>
      <c r="L2" s="225" t="s">
        <v>212</v>
      </c>
      <c r="M2" s="227" t="s">
        <v>218</v>
      </c>
      <c r="N2" s="238"/>
      <c r="O2" s="238"/>
      <c r="P2" s="238"/>
      <c r="Q2" s="222"/>
      <c r="R2" s="222"/>
      <c r="S2" s="222"/>
    </row>
    <row r="3" spans="1:19" s="222" customFormat="1" ht="18" customHeight="1">
      <c r="A3" s="228" t="s">
        <v>202</v>
      </c>
      <c r="B3" s="229">
        <v>20</v>
      </c>
      <c r="C3" s="243">
        <v>3300</v>
      </c>
      <c r="D3" s="243">
        <v>2700</v>
      </c>
      <c r="E3" s="248">
        <f>+(C3-D3)/C3</f>
        <v>0.18181818181818182</v>
      </c>
      <c r="F3" s="230" t="s">
        <v>204</v>
      </c>
      <c r="G3" s="229">
        <v>675</v>
      </c>
      <c r="H3" s="229">
        <v>30</v>
      </c>
      <c r="I3" s="229" t="s">
        <v>213</v>
      </c>
      <c r="J3" s="231">
        <v>1.4</v>
      </c>
      <c r="K3" s="231">
        <v>5.0999999999999996</v>
      </c>
      <c r="L3" s="229" t="s">
        <v>238</v>
      </c>
      <c r="M3" s="232"/>
      <c r="N3" s="238"/>
      <c r="O3" s="238"/>
      <c r="P3" s="238"/>
    </row>
    <row r="4" spans="1:19" ht="18" customHeight="1">
      <c r="A4" s="228" t="s">
        <v>220</v>
      </c>
      <c r="B4" s="229">
        <v>20</v>
      </c>
      <c r="C4" s="229">
        <v>3600</v>
      </c>
      <c r="D4" s="229">
        <v>2870</v>
      </c>
      <c r="E4" s="248">
        <f t="shared" ref="E4:E22" si="0">+(C4-D4)/C4</f>
        <v>0.20277777777777778</v>
      </c>
      <c r="F4" s="229" t="s">
        <v>204</v>
      </c>
      <c r="G4" s="229">
        <v>720</v>
      </c>
      <c r="H4" s="229">
        <v>60</v>
      </c>
      <c r="I4" s="229" t="s">
        <v>215</v>
      </c>
      <c r="J4" s="231">
        <v>1</v>
      </c>
      <c r="K4" s="231">
        <v>5.2</v>
      </c>
      <c r="L4" s="229" t="s">
        <v>238</v>
      </c>
      <c r="M4" s="233"/>
      <c r="N4" s="237"/>
      <c r="O4" s="237"/>
      <c r="P4" s="237"/>
    </row>
    <row r="5" spans="1:19" ht="18" customHeight="1">
      <c r="A5" s="228" t="s">
        <v>220</v>
      </c>
      <c r="B5" s="229">
        <v>20</v>
      </c>
      <c r="C5" s="229">
        <v>3510</v>
      </c>
      <c r="D5" s="229">
        <v>2800</v>
      </c>
      <c r="E5" s="248">
        <f t="shared" si="0"/>
        <v>0.20227920227920229</v>
      </c>
      <c r="F5" s="229" t="s">
        <v>204</v>
      </c>
      <c r="G5" s="229">
        <v>720</v>
      </c>
      <c r="H5" s="229">
        <v>60</v>
      </c>
      <c r="I5" s="229" t="s">
        <v>216</v>
      </c>
      <c r="J5" s="231">
        <v>1</v>
      </c>
      <c r="K5" s="231">
        <v>5.0999999999999996</v>
      </c>
      <c r="L5" s="229" t="s">
        <v>238</v>
      </c>
      <c r="M5" s="233"/>
      <c r="N5" s="237"/>
      <c r="O5" s="237"/>
      <c r="P5" s="237"/>
    </row>
    <row r="6" spans="1:19" ht="18" customHeight="1">
      <c r="A6" s="228"/>
      <c r="B6" s="229"/>
      <c r="C6" s="229"/>
      <c r="D6" s="229"/>
      <c r="E6" s="248" t="e">
        <f t="shared" si="0"/>
        <v>#DIV/0!</v>
      </c>
      <c r="F6" s="229"/>
      <c r="G6" s="229"/>
      <c r="H6" s="229"/>
      <c r="I6" s="229"/>
      <c r="J6" s="229"/>
      <c r="K6" s="229"/>
      <c r="L6" s="229"/>
      <c r="M6" s="233"/>
      <c r="N6" s="237"/>
      <c r="O6" s="237"/>
      <c r="P6" s="237"/>
    </row>
    <row r="7" spans="1:19" ht="18" customHeight="1">
      <c r="A7" s="228"/>
      <c r="B7" s="229"/>
      <c r="C7" s="229"/>
      <c r="D7" s="229"/>
      <c r="E7" s="248" t="e">
        <f t="shared" si="0"/>
        <v>#DIV/0!</v>
      </c>
      <c r="F7" s="229"/>
      <c r="G7" s="229"/>
      <c r="H7" s="229"/>
      <c r="I7" s="229"/>
      <c r="J7" s="229"/>
      <c r="K7" s="229"/>
      <c r="L7" s="229"/>
      <c r="M7" s="233"/>
      <c r="N7" s="237"/>
      <c r="O7" s="237"/>
      <c r="P7" s="237"/>
    </row>
    <row r="8" spans="1:19" ht="18" customHeight="1">
      <c r="A8" s="228"/>
      <c r="B8" s="229"/>
      <c r="C8" s="229"/>
      <c r="D8" s="229"/>
      <c r="E8" s="248" t="e">
        <f t="shared" si="0"/>
        <v>#DIV/0!</v>
      </c>
      <c r="F8" s="229"/>
      <c r="G8" s="229"/>
      <c r="H8" s="229"/>
      <c r="I8" s="229"/>
      <c r="J8" s="229"/>
      <c r="K8" s="229"/>
      <c r="L8" s="229"/>
      <c r="M8" s="233"/>
      <c r="N8" s="237"/>
      <c r="O8" s="237"/>
      <c r="P8" s="237"/>
    </row>
    <row r="9" spans="1:19" ht="18" customHeight="1">
      <c r="A9" s="228"/>
      <c r="B9" s="229"/>
      <c r="C9" s="229"/>
      <c r="D9" s="229"/>
      <c r="E9" s="248" t="e">
        <f t="shared" si="0"/>
        <v>#DIV/0!</v>
      </c>
      <c r="F9" s="229"/>
      <c r="G9" s="229"/>
      <c r="H9" s="229"/>
      <c r="I9" s="229"/>
      <c r="J9" s="229"/>
      <c r="K9" s="229"/>
      <c r="L9" s="229"/>
      <c r="M9" s="233"/>
      <c r="N9" s="237"/>
      <c r="O9" s="237"/>
      <c r="P9" s="237"/>
    </row>
    <row r="10" spans="1:19" ht="18" customHeight="1">
      <c r="A10" s="228"/>
      <c r="B10" s="229"/>
      <c r="C10" s="229"/>
      <c r="D10" s="229"/>
      <c r="E10" s="248" t="e">
        <f t="shared" si="0"/>
        <v>#DIV/0!</v>
      </c>
      <c r="F10" s="229"/>
      <c r="G10" s="229"/>
      <c r="H10" s="229"/>
      <c r="I10" s="229"/>
      <c r="J10" s="229"/>
      <c r="K10" s="229"/>
      <c r="L10" s="229"/>
      <c r="M10" s="233"/>
      <c r="N10" s="237"/>
      <c r="O10" s="237"/>
      <c r="P10" s="237"/>
    </row>
    <row r="11" spans="1:19" ht="18" customHeight="1">
      <c r="A11" s="228"/>
      <c r="B11" s="229"/>
      <c r="C11" s="229"/>
      <c r="D11" s="229"/>
      <c r="E11" s="248" t="e">
        <f t="shared" si="0"/>
        <v>#DIV/0!</v>
      </c>
      <c r="F11" s="229"/>
      <c r="G11" s="229"/>
      <c r="H11" s="229"/>
      <c r="I11" s="229"/>
      <c r="J11" s="229"/>
      <c r="K11" s="229"/>
      <c r="L11" s="229"/>
      <c r="M11" s="233"/>
      <c r="N11" s="237"/>
      <c r="O11" s="237"/>
      <c r="P11" s="237"/>
    </row>
    <row r="12" spans="1:19" ht="18" customHeight="1">
      <c r="A12" s="228"/>
      <c r="B12" s="229"/>
      <c r="C12" s="229"/>
      <c r="D12" s="229"/>
      <c r="E12" s="248" t="e">
        <f t="shared" si="0"/>
        <v>#DIV/0!</v>
      </c>
      <c r="F12" s="229"/>
      <c r="G12" s="229"/>
      <c r="H12" s="229"/>
      <c r="I12" s="229"/>
      <c r="J12" s="229"/>
      <c r="K12" s="229"/>
      <c r="L12" s="229"/>
      <c r="M12" s="233"/>
      <c r="N12" s="237"/>
      <c r="O12" s="237"/>
      <c r="P12" s="237"/>
    </row>
    <row r="13" spans="1:19" ht="18" customHeight="1">
      <c r="A13" s="228"/>
      <c r="B13" s="229"/>
      <c r="C13" s="229"/>
      <c r="D13" s="229"/>
      <c r="E13" s="248" t="e">
        <f t="shared" si="0"/>
        <v>#DIV/0!</v>
      </c>
      <c r="F13" s="229"/>
      <c r="G13" s="229"/>
      <c r="H13" s="229"/>
      <c r="I13" s="229"/>
      <c r="J13" s="229"/>
      <c r="K13" s="229"/>
      <c r="L13" s="229"/>
      <c r="M13" s="233"/>
      <c r="N13" s="237"/>
      <c r="O13" s="237"/>
      <c r="P13" s="237"/>
    </row>
    <row r="14" spans="1:19" ht="18" customHeight="1">
      <c r="A14" s="228"/>
      <c r="B14" s="229"/>
      <c r="C14" s="229"/>
      <c r="D14" s="229"/>
      <c r="E14" s="248" t="e">
        <f t="shared" si="0"/>
        <v>#DIV/0!</v>
      </c>
      <c r="F14" s="229"/>
      <c r="G14" s="229"/>
      <c r="H14" s="229"/>
      <c r="I14" s="229"/>
      <c r="J14" s="229"/>
      <c r="K14" s="229"/>
      <c r="L14" s="229"/>
      <c r="M14" s="233"/>
      <c r="N14" s="237"/>
      <c r="O14" s="237"/>
      <c r="P14" s="237"/>
    </row>
    <row r="15" spans="1:19" ht="18" customHeight="1">
      <c r="A15" s="228"/>
      <c r="B15" s="229"/>
      <c r="C15" s="229"/>
      <c r="D15" s="229"/>
      <c r="E15" s="248" t="e">
        <f t="shared" si="0"/>
        <v>#DIV/0!</v>
      </c>
      <c r="F15" s="229"/>
      <c r="G15" s="229"/>
      <c r="H15" s="229"/>
      <c r="I15" s="229"/>
      <c r="J15" s="229"/>
      <c r="K15" s="229"/>
      <c r="L15" s="229"/>
      <c r="M15" s="233"/>
      <c r="N15" s="237"/>
      <c r="O15" s="237"/>
      <c r="P15" s="237"/>
    </row>
    <row r="16" spans="1:19" ht="18" customHeight="1">
      <c r="A16" s="228"/>
      <c r="B16" s="229"/>
      <c r="C16" s="229"/>
      <c r="D16" s="229"/>
      <c r="E16" s="248" t="e">
        <f t="shared" si="0"/>
        <v>#DIV/0!</v>
      </c>
      <c r="F16" s="229"/>
      <c r="G16" s="229"/>
      <c r="H16" s="229"/>
      <c r="I16" s="229"/>
      <c r="J16" s="229"/>
      <c r="K16" s="229"/>
      <c r="L16" s="229"/>
      <c r="M16" s="233"/>
      <c r="N16" s="237"/>
      <c r="O16" s="237"/>
      <c r="P16" s="237"/>
    </row>
    <row r="17" spans="1:16" ht="18" customHeight="1">
      <c r="A17" s="228"/>
      <c r="B17" s="229"/>
      <c r="C17" s="229"/>
      <c r="D17" s="229"/>
      <c r="E17" s="248" t="e">
        <f t="shared" si="0"/>
        <v>#DIV/0!</v>
      </c>
      <c r="F17" s="229"/>
      <c r="G17" s="229"/>
      <c r="H17" s="229"/>
      <c r="I17" s="229"/>
      <c r="J17" s="229"/>
      <c r="K17" s="229"/>
      <c r="L17" s="229"/>
      <c r="M17" s="233"/>
      <c r="N17" s="237"/>
      <c r="O17" s="237"/>
      <c r="P17" s="237"/>
    </row>
    <row r="18" spans="1:16" ht="18" customHeight="1">
      <c r="A18" s="228"/>
      <c r="B18" s="229"/>
      <c r="C18" s="229"/>
      <c r="D18" s="229"/>
      <c r="E18" s="248" t="e">
        <f t="shared" si="0"/>
        <v>#DIV/0!</v>
      </c>
      <c r="F18" s="229"/>
      <c r="G18" s="229"/>
      <c r="H18" s="229"/>
      <c r="I18" s="229"/>
      <c r="J18" s="229"/>
      <c r="K18" s="229"/>
      <c r="L18" s="229"/>
      <c r="M18" s="233"/>
      <c r="N18" s="237"/>
      <c r="O18" s="237"/>
      <c r="P18" s="237"/>
    </row>
    <row r="19" spans="1:16" ht="18" customHeight="1">
      <c r="A19" s="228"/>
      <c r="B19" s="229"/>
      <c r="C19" s="229"/>
      <c r="D19" s="229"/>
      <c r="E19" s="248" t="e">
        <f t="shared" si="0"/>
        <v>#DIV/0!</v>
      </c>
      <c r="F19" s="229"/>
      <c r="G19" s="229"/>
      <c r="H19" s="229"/>
      <c r="I19" s="229"/>
      <c r="J19" s="229"/>
      <c r="K19" s="229"/>
      <c r="L19" s="229"/>
      <c r="M19" s="233"/>
      <c r="N19" s="237"/>
      <c r="O19" s="237"/>
      <c r="P19" s="237"/>
    </row>
    <row r="20" spans="1:16" ht="18" customHeight="1">
      <c r="A20" s="228"/>
      <c r="B20" s="229"/>
      <c r="C20" s="229"/>
      <c r="D20" s="229"/>
      <c r="E20" s="248" t="e">
        <f t="shared" si="0"/>
        <v>#DIV/0!</v>
      </c>
      <c r="F20" s="229"/>
      <c r="G20" s="229"/>
      <c r="H20" s="229"/>
      <c r="I20" s="229"/>
      <c r="J20" s="229"/>
      <c r="K20" s="229"/>
      <c r="L20" s="229"/>
      <c r="M20" s="233"/>
      <c r="N20" s="237"/>
      <c r="O20" s="237"/>
      <c r="P20" s="237"/>
    </row>
    <row r="21" spans="1:16" ht="18" customHeight="1">
      <c r="A21" s="228"/>
      <c r="B21" s="229"/>
      <c r="C21" s="229"/>
      <c r="D21" s="229"/>
      <c r="E21" s="248" t="e">
        <f t="shared" si="0"/>
        <v>#DIV/0!</v>
      </c>
      <c r="F21" s="229"/>
      <c r="G21" s="229"/>
      <c r="H21" s="229"/>
      <c r="I21" s="229"/>
      <c r="J21" s="229"/>
      <c r="K21" s="229"/>
      <c r="L21" s="229"/>
      <c r="M21" s="233"/>
      <c r="N21" s="237"/>
      <c r="O21" s="237"/>
      <c r="P21" s="237"/>
    </row>
    <row r="22" spans="1:16" ht="18" customHeight="1" thickBot="1">
      <c r="A22" s="234"/>
      <c r="B22" s="235"/>
      <c r="C22" s="235"/>
      <c r="D22" s="235"/>
      <c r="E22" s="249" t="e">
        <f t="shared" si="0"/>
        <v>#DIV/0!</v>
      </c>
      <c r="F22" s="235"/>
      <c r="G22" s="235"/>
      <c r="H22" s="235"/>
      <c r="I22" s="235"/>
      <c r="J22" s="235"/>
      <c r="K22" s="235"/>
      <c r="L22" s="235"/>
      <c r="M22" s="236"/>
      <c r="N22" s="237"/>
      <c r="O22" s="237"/>
      <c r="P22" s="237"/>
    </row>
    <row r="23" spans="1:16">
      <c r="A23" s="238"/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9"/>
      <c r="N23" s="237"/>
      <c r="O23" s="237"/>
      <c r="P23" s="237"/>
    </row>
    <row r="24" spans="1:16">
      <c r="A24" s="374" t="s">
        <v>219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237"/>
      <c r="O24" s="237"/>
      <c r="P24" s="237"/>
    </row>
    <row r="25" spans="1:16">
      <c r="A25" s="242" t="s">
        <v>55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41" t="s">
        <v>54</v>
      </c>
      <c r="N25" s="237"/>
      <c r="O25" s="237"/>
      <c r="P25" s="237"/>
    </row>
  </sheetData>
  <mergeCells count="2">
    <mergeCell ref="A1:M1"/>
    <mergeCell ref="A24:M24"/>
  </mergeCells>
  <pageMargins left="0.7" right="0.7" top="0.75" bottom="0.75" header="0.3" footer="0.3"/>
  <pageSetup paperSize="9" orientation="portrait" r:id="rId1"/>
  <ignoredErrors>
    <ignoredError sqref="E6:E7 E22 E8:E9 E10:E13 E14:E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Saltsild</vt:lpstr>
      <vt:lpstr>Saltprocent</vt:lpstr>
      <vt:lpstr>Spand</vt:lpstr>
      <vt:lpstr>Lockbog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2014-10-20T13:38:41Z</dcterms:created>
  <dcterms:modified xsi:type="dcterms:W3CDTF">2018-12-05T18:46:17Z</dcterms:modified>
</cp:coreProperties>
</file>