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 activeTab="1"/>
  </bookViews>
  <sheets>
    <sheet name="Fjeder" sheetId="1" r:id="rId1"/>
    <sheet name="Data" sheetId="2" r:id="rId2"/>
    <sheet name="Vandring" sheetId="3" r:id="rId3"/>
  </sheets>
  <calcPr calcId="125725"/>
</workbook>
</file>

<file path=xl/calcChain.xml><?xml version="1.0" encoding="utf-8"?>
<calcChain xmlns="http://schemas.openxmlformats.org/spreadsheetml/2006/main">
  <c r="Y51" i="2"/>
  <c r="X51"/>
  <c r="W51"/>
  <c r="V51"/>
  <c r="U51"/>
  <c r="T51"/>
  <c r="S51"/>
  <c r="R51"/>
  <c r="Q51"/>
  <c r="P51"/>
  <c r="O51"/>
  <c r="N51"/>
  <c r="Y49"/>
  <c r="X49"/>
  <c r="W49"/>
  <c r="V49"/>
  <c r="U49"/>
  <c r="T49"/>
  <c r="S49"/>
  <c r="R49"/>
  <c r="Q49"/>
  <c r="P49"/>
  <c r="M49" s="1"/>
  <c r="O49"/>
  <c r="N49"/>
  <c r="Y47"/>
  <c r="X47"/>
  <c r="W47"/>
  <c r="V47"/>
  <c r="U47"/>
  <c r="S47"/>
  <c r="R47"/>
  <c r="Q47"/>
  <c r="P47"/>
  <c r="O47"/>
  <c r="Y46"/>
  <c r="X46"/>
  <c r="W46"/>
  <c r="V46"/>
  <c r="U46"/>
  <c r="T46"/>
  <c r="S46"/>
  <c r="R46"/>
  <c r="Q46"/>
  <c r="P46"/>
  <c r="O46"/>
  <c r="N48"/>
  <c r="O4" i="3"/>
  <c r="Y9" s="1"/>
  <c r="Y7"/>
  <c r="C4"/>
  <c r="E4" s="1"/>
  <c r="M4"/>
  <c r="L4"/>
  <c r="H7" s="1"/>
  <c r="K4"/>
  <c r="G4"/>
  <c r="Y8"/>
  <c r="X9" s="1"/>
  <c r="H52" i="2"/>
  <c r="H50"/>
  <c r="H49"/>
  <c r="F52"/>
  <c r="I80"/>
  <c r="H80"/>
  <c r="D79"/>
  <c r="C85"/>
  <c r="C84"/>
  <c r="C83"/>
  <c r="C82"/>
  <c r="C81"/>
  <c r="C80"/>
  <c r="C79"/>
  <c r="C78"/>
  <c r="C77"/>
  <c r="C76"/>
  <c r="U22" i="1"/>
  <c r="G45" i="2"/>
  <c r="H45" s="1"/>
  <c r="P53" l="1"/>
  <c r="T47"/>
  <c r="Q48"/>
  <c r="P48"/>
  <c r="O48"/>
  <c r="M7" i="3"/>
  <c r="M8" s="1"/>
  <c r="M9" s="1"/>
  <c r="L7"/>
  <c r="L8" s="1"/>
  <c r="L9" s="1"/>
  <c r="W7"/>
  <c r="W8" s="1"/>
  <c r="W9" s="1"/>
  <c r="V7"/>
  <c r="V8" s="1"/>
  <c r="V9" s="1"/>
  <c r="O7"/>
  <c r="O8" s="1"/>
  <c r="O9" s="1"/>
  <c r="N7"/>
  <c r="N8" s="1"/>
  <c r="N9" s="1"/>
  <c r="U7"/>
  <c r="U8" s="1"/>
  <c r="U9" s="1"/>
  <c r="R7"/>
  <c r="R8" s="1"/>
  <c r="R9" s="1"/>
  <c r="T7"/>
  <c r="T8" s="1"/>
  <c r="T9" s="1"/>
  <c r="S7"/>
  <c r="S8" s="1"/>
  <c r="S9" s="1"/>
  <c r="Q7"/>
  <c r="Q8" s="1"/>
  <c r="Q9" s="1"/>
  <c r="P7"/>
  <c r="P8" s="1"/>
  <c r="P9" s="1"/>
  <c r="Y6"/>
  <c r="D7"/>
  <c r="D8" s="1"/>
  <c r="D9" s="1"/>
  <c r="E7"/>
  <c r="E8" s="1"/>
  <c r="E9" s="1"/>
  <c r="C7"/>
  <c r="C8" s="1"/>
  <c r="C9" s="1"/>
  <c r="J7"/>
  <c r="J8" s="1"/>
  <c r="J9" s="1"/>
  <c r="G7"/>
  <c r="G8" s="1"/>
  <c r="G9" s="1"/>
  <c r="K7"/>
  <c r="K8" s="1"/>
  <c r="K9" s="1"/>
  <c r="F7"/>
  <c r="F8" s="1"/>
  <c r="F9" s="1"/>
  <c r="I7"/>
  <c r="I8" s="1"/>
  <c r="I9" s="1"/>
  <c r="H8"/>
  <c r="H9" s="1"/>
  <c r="U42" i="2"/>
  <c r="E36"/>
  <c r="F35"/>
  <c r="H47"/>
  <c r="H46"/>
  <c r="T42"/>
  <c r="Y42"/>
  <c r="S42"/>
  <c r="R42"/>
  <c r="Q42"/>
  <c r="P42"/>
  <c r="X42"/>
  <c r="O42"/>
  <c r="W42"/>
  <c r="N42"/>
  <c r="V42"/>
  <c r="G6"/>
  <c r="B30" s="1"/>
  <c r="H29" s="1"/>
  <c r="G3"/>
  <c r="B31" s="1"/>
  <c r="V20"/>
  <c r="V19" s="1"/>
  <c r="V21"/>
  <c r="P72" l="1"/>
  <c r="P92"/>
  <c r="R48"/>
  <c r="T22"/>
  <c r="U20"/>
  <c r="T20"/>
  <c r="S20"/>
  <c r="R20"/>
  <c r="Q20"/>
  <c r="P20"/>
  <c r="O20"/>
  <c r="N20"/>
  <c r="M20"/>
  <c r="K21"/>
  <c r="K20"/>
  <c r="K19"/>
  <c r="F12"/>
  <c r="D12"/>
  <c r="B12"/>
  <c r="H25" s="1"/>
  <c r="C2"/>
  <c r="A2"/>
  <c r="A12" s="1"/>
  <c r="F10" i="1"/>
  <c r="G4" i="2"/>
  <c r="D31" s="1"/>
  <c r="D25"/>
  <c r="D21"/>
  <c r="F3"/>
  <c r="B25" s="1"/>
  <c r="E3"/>
  <c r="B23" s="1"/>
  <c r="D3"/>
  <c r="B21" s="1"/>
  <c r="C3"/>
  <c r="B19" s="1"/>
  <c r="L30" i="1"/>
  <c r="O30"/>
  <c r="G4"/>
  <c r="J9"/>
  <c r="I9"/>
  <c r="F8"/>
  <c r="D23" i="2"/>
  <c r="D19"/>
  <c r="R28" i="1"/>
  <c r="R22"/>
  <c r="S48" i="2" l="1"/>
  <c r="E2"/>
  <c r="H82" s="1"/>
  <c r="P45"/>
  <c r="S45"/>
  <c r="R45"/>
  <c r="T45"/>
  <c r="W45"/>
  <c r="N21"/>
  <c r="X45"/>
  <c r="O45"/>
  <c r="U45"/>
  <c r="V45"/>
  <c r="N45"/>
  <c r="Q45"/>
  <c r="Y45"/>
  <c r="F7" i="1"/>
  <c r="U21" i="2"/>
  <c r="S21"/>
  <c r="Q21"/>
  <c r="O21"/>
  <c r="M21"/>
  <c r="T21"/>
  <c r="R21"/>
  <c r="P21"/>
  <c r="J25"/>
  <c r="B20"/>
  <c r="D6" s="1"/>
  <c r="B18"/>
  <c r="C6" s="1"/>
  <c r="B24"/>
  <c r="H26" s="1"/>
  <c r="B22"/>
  <c r="E6" s="1"/>
  <c r="J26"/>
  <c r="R30" i="1"/>
  <c r="S30" s="1"/>
  <c r="F9"/>
  <c r="T48" i="2" l="1"/>
  <c r="R44"/>
  <c r="F80" s="1"/>
  <c r="T44"/>
  <c r="F82" s="1"/>
  <c r="S44"/>
  <c r="F81" s="1"/>
  <c r="U44"/>
  <c r="F83" s="1"/>
  <c r="V44"/>
  <c r="F84" s="1"/>
  <c r="O44"/>
  <c r="F77" s="1"/>
  <c r="W44"/>
  <c r="F85" s="1"/>
  <c r="X44"/>
  <c r="P44"/>
  <c r="F78" s="1"/>
  <c r="N44"/>
  <c r="F76" s="1"/>
  <c r="Y44"/>
  <c r="Q44"/>
  <c r="F79" s="1"/>
  <c r="H27"/>
  <c r="H30"/>
  <c r="H31" s="1"/>
  <c r="H32" s="1"/>
  <c r="J27"/>
  <c r="F6"/>
  <c r="C17"/>
  <c r="U48" l="1"/>
  <c r="V48" l="1"/>
  <c r="W48" l="1"/>
  <c r="X48" l="1"/>
  <c r="Y48"/>
  <c r="M48" l="1"/>
</calcChain>
</file>

<file path=xl/sharedStrings.xml><?xml version="1.0" encoding="utf-8"?>
<sst xmlns="http://schemas.openxmlformats.org/spreadsheetml/2006/main" count="246" uniqueCount="174">
  <si>
    <t>Hvordan beregner man fjederkonstanten på en trykfjeder?</t>
  </si>
  <si>
    <t>Fjederkonstant betegnes altid som N/mm (Newton pr. millimeter) 1N = ca. 0,1kg</t>
  </si>
  <si>
    <t>Fjederkonstanten beregnes efter følgende formel:</t>
  </si>
  <si>
    <t>n = effektive vindinger.</t>
  </si>
  <si>
    <t>Fjederkonstanten beskriver hvor meget kraften i Newton forøges pr. mm fjederen trykkes sammen.</t>
  </si>
  <si>
    <t>Fjederkonstanten er liniær på en cylinderisk trykfjeder.</t>
  </si>
  <si>
    <t>Fjederkonstanten er et resultat af kombinationen trådtykkelse, diameter, antal effektive vindinger samt ubelastet længde. </t>
  </si>
  <si>
    <t>På nedenstående tegning kan man se forøgelsen af kraften Fn som resultatet af R.   </t>
  </si>
  <si>
    <t>R=</t>
  </si>
  <si>
    <t>N/mm</t>
  </si>
  <si>
    <t>mm</t>
  </si>
  <si>
    <t>antal</t>
  </si>
  <si>
    <t>dia. Udv.</t>
  </si>
  <si>
    <t>dia. Indv.</t>
  </si>
  <si>
    <t>Terminologi</t>
  </si>
  <si>
    <t>d = Tråddiameter i mm</t>
  </si>
  <si>
    <t>n = Antal effektive fjedrende vindinger</t>
  </si>
  <si>
    <t>L0 = Fri ubelastet længde - L0 er kun vejledende, L0 kan variere noget.</t>
  </si>
  <si>
    <t>L1 = Belastet længde i mm ved F1</t>
  </si>
  <si>
    <t>L2 = Belastet længde i mm ved F2</t>
  </si>
  <si>
    <t>Ln = Max belastet længde i mm (min længde / max belastning)</t>
  </si>
  <si>
    <t>F1 = Delvis belastning i N (Newton) ved L1</t>
  </si>
  <si>
    <t>F2 = Yderligere belastning i N (Newton) ved L2</t>
  </si>
  <si>
    <t>Fn = Max belastning i N (Newton) ved Ln (bør ikke anvendes)</t>
  </si>
  <si>
    <t>R = Fjederkonstant i N/mm</t>
  </si>
  <si>
    <t>Dd = Dorndiameter som fjederen kan arbejde over</t>
  </si>
  <si>
    <t>Dh = Huldiameter som fjederen kan arbejde i</t>
  </si>
  <si>
    <t>Sn</t>
  </si>
  <si>
    <t>N</t>
  </si>
  <si>
    <t>R</t>
  </si>
  <si>
    <t>d</t>
  </si>
  <si>
    <t>De</t>
  </si>
  <si>
    <t>Di</t>
  </si>
  <si>
    <t>Pris</t>
  </si>
  <si>
    <t>Tråd type</t>
  </si>
  <si>
    <t>Tråd </t>
  </si>
  <si>
    <t>diameter udv. </t>
  </si>
  <si>
    <t>Diameter indv. </t>
  </si>
  <si>
    <t>L0</t>
  </si>
  <si>
    <t>Fri længde </t>
  </si>
  <si>
    <t>Ln</t>
  </si>
  <si>
    <t>Max belastet længde </t>
  </si>
  <si>
    <t>Max vandring </t>
  </si>
  <si>
    <t>Fn</t>
  </si>
  <si>
    <t>Max kraft </t>
  </si>
  <si>
    <t>Fjedre konstant </t>
  </si>
  <si>
    <t>Lager</t>
  </si>
  <si>
    <t>nummer</t>
  </si>
  <si>
    <t>Rustfri tråd</t>
  </si>
  <si>
    <t>Incl. Moms</t>
  </si>
  <si>
    <t>N                     omregnet</t>
  </si>
  <si>
    <t>Kraft beregning</t>
  </si>
  <si>
    <t>Beregning af fjederkraft ved en given længde: s * R.</t>
  </si>
  <si>
    <t>Eks.:</t>
  </si>
  <si>
    <t>Fjederen vandrer 16 mm giver dermed 48 N hvilket  svarer til =</t>
  </si>
  <si>
    <t>En fjeder med R fjederkonstant på 3 N/mm trykkes 16mm ned  yder en kraft på = 3 * 16 =</t>
  </si>
  <si>
    <t>1 N =</t>
  </si>
  <si>
    <t>1 kg =</t>
  </si>
  <si>
    <t>kg</t>
  </si>
  <si>
    <t>Omregnings konstanter</t>
  </si>
  <si>
    <t>Kraft beregning på ovenstående fjeder</t>
  </si>
  <si>
    <t>s =</t>
  </si>
  <si>
    <t>R =</t>
  </si>
  <si>
    <t xml:space="preserve">http://www.fjedre.dk/online-shop/trykfjedre </t>
  </si>
  <si>
    <t>Vægt kg</t>
  </si>
  <si>
    <t>Data for min tryk fjeder til ostepresse</t>
  </si>
  <si>
    <t>Min</t>
  </si>
  <si>
    <t>Max</t>
  </si>
  <si>
    <t>Mit område</t>
  </si>
  <si>
    <t>kg/mm</t>
  </si>
  <si>
    <t>19 mm</t>
  </si>
  <si>
    <t>Fjederen skal arbejde rundt om møtrikken og trykkes ned af skiven</t>
  </si>
  <si>
    <t>Kan ikke blive mindre på grund af møtrikken</t>
  </si>
  <si>
    <t>Fmax</t>
  </si>
  <si>
    <t>Område for min og max for min fjeder</t>
  </si>
  <si>
    <t>Trykfjeder rustfri tråd - Serie A &amp; B</t>
  </si>
  <si>
    <t>Fn max</t>
  </si>
  <si>
    <t>L0 min</t>
  </si>
  <si>
    <t>L0 max</t>
  </si>
  <si>
    <t>Di min</t>
  </si>
  <si>
    <t>De max</t>
  </si>
  <si>
    <t>N = s * R</t>
  </si>
  <si>
    <t>s = N / R</t>
  </si>
  <si>
    <t xml:space="preserve"> mm </t>
  </si>
  <si>
    <t xml:space="preserve"> N</t>
  </si>
  <si>
    <t>Fjederen vandrer</t>
  </si>
  <si>
    <t>Fjederen skal derfor være nedlagt og slebet</t>
  </si>
  <si>
    <t>S10 = N/R</t>
  </si>
  <si>
    <t>S20 = N/R</t>
  </si>
  <si>
    <t>S30 = N/R</t>
  </si>
  <si>
    <t>F10</t>
  </si>
  <si>
    <t>F20</t>
  </si>
  <si>
    <t>F30</t>
  </si>
  <si>
    <t>S32 = N/R</t>
  </si>
  <si>
    <t>F32</t>
  </si>
  <si>
    <t>L0 =</t>
  </si>
  <si>
    <t>S32 =</t>
  </si>
  <si>
    <t>Vandring i mm</t>
  </si>
  <si>
    <t>Afstanden mellem lille skive og stor skive kan justeres - dog min 19 mm</t>
  </si>
  <si>
    <t>Sn =</t>
  </si>
  <si>
    <t>Ln =</t>
  </si>
  <si>
    <t>N/mm²</t>
  </si>
  <si>
    <t>G = (R*8) * (D³*n)/d^4)</t>
  </si>
  <si>
    <r>
      <t>De = Udvendig diameter i mm </t>
    </r>
    <r>
      <rPr>
        <b/>
        <sz val="11"/>
        <color theme="1"/>
        <rFont val="Calibri"/>
        <family val="2"/>
        <scheme val="minor"/>
      </rPr>
      <t>(Di + (d*2))</t>
    </r>
  </si>
  <si>
    <r>
      <t>Dm = Middel diameter i mm </t>
    </r>
    <r>
      <rPr>
        <b/>
        <sz val="11"/>
        <color theme="1"/>
        <rFont val="Calibri"/>
        <family val="2"/>
        <scheme val="minor"/>
      </rPr>
      <t>(De - d)</t>
    </r>
  </si>
  <si>
    <r>
      <t>sn = Max vandring (sammentrykning) i mm. </t>
    </r>
    <r>
      <rPr>
        <b/>
        <sz val="11"/>
        <color theme="1"/>
        <rFont val="Calibri"/>
        <family val="2"/>
        <scheme val="minor"/>
      </rPr>
      <t>(L0 - Ln)</t>
    </r>
    <r>
      <rPr>
        <sz val="11"/>
        <color theme="1"/>
        <rFont val="Calibri"/>
        <family val="2"/>
        <scheme val="minor"/>
      </rPr>
      <t> (bør ikke anvendes)</t>
    </r>
  </si>
  <si>
    <r>
      <t>Di = Indvendig diameter i mm </t>
    </r>
    <r>
      <rPr>
        <b/>
        <sz val="11"/>
        <rFont val="Calibri"/>
        <family val="2"/>
        <scheme val="minor"/>
      </rPr>
      <t>(De - (d*2))</t>
    </r>
  </si>
  <si>
    <r>
      <t>nt = Vindinger total </t>
    </r>
    <r>
      <rPr>
        <b/>
        <sz val="11"/>
        <rFont val="Calibri"/>
        <family val="2"/>
        <scheme val="minor"/>
      </rPr>
      <t>(n + 2)</t>
    </r>
  </si>
  <si>
    <t>Stress-strain module</t>
  </si>
  <si>
    <t>R = Fjederkonstanten [N/mm]</t>
  </si>
  <si>
    <r>
      <t>G = Forskydnings modul [N/mm</t>
    </r>
    <r>
      <rPr>
        <sz val="11"/>
        <color rgb="FF000000"/>
        <rFont val="Calibri"/>
        <family val="2"/>
      </rPr>
      <t>²]</t>
    </r>
  </si>
  <si>
    <t>d4 = tråd tykkelse i 4 potens [mm^4]</t>
  </si>
  <si>
    <r>
      <t>D3 = Middel diameter i 3 potens [mm</t>
    </r>
    <r>
      <rPr>
        <sz val="11"/>
        <color rgb="FF000000"/>
        <rFont val="Calibri"/>
        <family val="2"/>
      </rPr>
      <t>³]</t>
    </r>
  </si>
  <si>
    <t>Gæt?</t>
  </si>
  <si>
    <t>Vægt</t>
  </si>
  <si>
    <t xml:space="preserve">Fjeder </t>
  </si>
  <si>
    <t>Kraft N</t>
  </si>
  <si>
    <t xml:space="preserve">Sn max vandring i mm </t>
  </si>
  <si>
    <t>Vandring i mm som funktion af vægt i kg og kraft i N</t>
  </si>
  <si>
    <t>Belastning</t>
  </si>
  <si>
    <t>Ln min</t>
  </si>
  <si>
    <t>Smax</t>
  </si>
  <si>
    <t>Smax =</t>
  </si>
  <si>
    <t>Tilbage</t>
  </si>
  <si>
    <t>Password for regnearket:</t>
  </si>
  <si>
    <t>walter</t>
  </si>
  <si>
    <t>Metrisk gevind</t>
  </si>
  <si>
    <t>Stigning</t>
  </si>
  <si>
    <t>Udvendig gev.</t>
  </si>
  <si>
    <t>Indvendig gev.</t>
  </si>
  <si>
    <t>i mm</t>
  </si>
  <si>
    <t>Ø stang</t>
  </si>
  <si>
    <t>Ø hul</t>
  </si>
  <si>
    <t>Gevindstang</t>
  </si>
  <si>
    <t>Omdrejninger</t>
  </si>
  <si>
    <t>Vægten som funktion af omdrejninger</t>
  </si>
  <si>
    <t>Topmøtrik 19,2 mm diameter og 19 mm højde - Skiven Ø 59 mm</t>
  </si>
  <si>
    <t>n antal effektive vindninger</t>
  </si>
  <si>
    <t>Gevindstang anvendt</t>
  </si>
  <si>
    <t>Metrisk gevind  M</t>
  </si>
  <si>
    <t>Udv. Gev.</t>
  </si>
  <si>
    <t>Indv. Gev.</t>
  </si>
  <si>
    <t xml:space="preserve"> M </t>
  </si>
  <si>
    <t>Liste</t>
  </si>
  <si>
    <t>Værdierne for fjederen indsættes i de gule celler herunder</t>
  </si>
  <si>
    <t>Indsæt diameter på gevindstangen. Gælder kun for metrisk gevind</t>
  </si>
  <si>
    <t>Kraften N som funktion af omdrejninger</t>
  </si>
  <si>
    <t xml:space="preserve">Omdrejninger for </t>
  </si>
  <si>
    <t>h = mm</t>
  </si>
  <si>
    <t>Middel vandring per omdrejning</t>
  </si>
  <si>
    <t>Vandring</t>
  </si>
  <si>
    <t>Top møtrik</t>
  </si>
  <si>
    <t>Møtrik</t>
  </si>
  <si>
    <t>Skive</t>
  </si>
  <si>
    <t>Høj i mm</t>
  </si>
  <si>
    <t>I alt</t>
  </si>
  <si>
    <t>Fjeder vandring i mm som funktion af vægt i kg</t>
  </si>
  <si>
    <t>Belastning i kg</t>
  </si>
  <si>
    <t>Fjederens sammentrykkede mål i mm som funktion af vægten i kg</t>
  </si>
  <si>
    <t>Ln i mm</t>
  </si>
  <si>
    <t>Vandring i mm [Sn]</t>
  </si>
  <si>
    <t>Bruges ikke      Overbelastning</t>
  </si>
  <si>
    <t>Målt vægt som funktion af omdrejninger</t>
  </si>
  <si>
    <t>Målt Vægt i kg med SG 50</t>
  </si>
  <si>
    <t>Målt Vægt i kg med SG 40</t>
  </si>
  <si>
    <t>Average kg/omdr. SG 50</t>
  </si>
  <si>
    <t>Average kg/omdr. SG 40</t>
  </si>
  <si>
    <t>Y = f(x)</t>
  </si>
  <si>
    <t>X</t>
  </si>
  <si>
    <t>Y</t>
  </si>
  <si>
    <t>Y = 2X +1</t>
  </si>
  <si>
    <t>hvis x = 2 er Y = 5</t>
  </si>
  <si>
    <t>Belastningen vægt [kg] og kraft  [N] som funktion af vandring i mm</t>
  </si>
  <si>
    <t>Y = f(X) eller Belastningen i kg som funktion af fjederens sammentrykning i mm</t>
  </si>
</sst>
</file>

<file path=xl/styles.xml><?xml version="1.0" encoding="utf-8"?>
<styleSheet xmlns="http://schemas.openxmlformats.org/spreadsheetml/2006/main">
  <numFmts count="4">
    <numFmt numFmtId="44" formatCode="_ &quot;kr.&quot;\ * #,##0.00_ ;_ &quot;kr.&quot;\ * \-#,##0.00_ ;_ &quot;kr.&quot;\ * &quot;-&quot;??_ ;_ @_ "/>
    <numFmt numFmtId="164" formatCode="0.0000"/>
    <numFmt numFmtId="165" formatCode="0.00000"/>
    <numFmt numFmtId="166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222222"/>
      <name val="Arial"/>
      <family val="2"/>
    </font>
    <font>
      <sz val="11"/>
      <color rgb="FF222222"/>
      <name val="Arial"/>
      <family val="2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8"/>
      <color theme="1"/>
      <name val="Arial"/>
      <family val="2"/>
    </font>
    <font>
      <sz val="12"/>
      <color rgb="FFFF0000"/>
      <name val="Arial"/>
      <family val="2"/>
    </font>
    <font>
      <sz val="11"/>
      <color theme="9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1DD8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2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9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2" xfId="0" applyFont="1" applyBorder="1" applyAlignment="1"/>
    <xf numFmtId="0" fontId="0" fillId="0" borderId="7" xfId="0" applyBorder="1"/>
    <xf numFmtId="2" fontId="3" fillId="0" borderId="2" xfId="0" applyNumberFormat="1" applyFont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0" fillId="4" borderId="9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4" borderId="0" xfId="0" applyNumberFormat="1" applyFill="1"/>
    <xf numFmtId="9" fontId="0" fillId="0" borderId="0" xfId="3" applyFont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  <xf numFmtId="1" fontId="0" fillId="0" borderId="4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/>
    <xf numFmtId="1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 applyProtection="1"/>
    <xf numFmtId="0" fontId="0" fillId="0" borderId="0" xfId="0" applyFont="1" applyProtection="1"/>
    <xf numFmtId="0" fontId="3" fillId="0" borderId="0" xfId="0" applyFont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2" fontId="0" fillId="0" borderId="6" xfId="0" applyNumberFormat="1" applyFont="1" applyFill="1" applyBorder="1" applyAlignment="1" applyProtection="1">
      <alignment horizontal="center" vertical="center"/>
    </xf>
    <xf numFmtId="2" fontId="0" fillId="0" borderId="7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/>
    <xf numFmtId="44" fontId="0" fillId="0" borderId="0" xfId="1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/>
    </xf>
    <xf numFmtId="2" fontId="0" fillId="0" borderId="0" xfId="0" applyNumberFormat="1" applyFont="1" applyProtection="1"/>
    <xf numFmtId="2" fontId="0" fillId="0" borderId="0" xfId="0" applyNumberFormat="1" applyFont="1" applyAlignment="1" applyProtection="1">
      <alignment horizontal="center" vertical="center"/>
    </xf>
    <xf numFmtId="165" fontId="0" fillId="0" borderId="0" xfId="0" applyNumberFormat="1" applyFont="1" applyAlignment="1" applyProtection="1">
      <alignment horizontal="center" vertical="center"/>
    </xf>
    <xf numFmtId="0" fontId="7" fillId="0" borderId="0" xfId="0" applyFont="1" applyProtection="1"/>
    <xf numFmtId="164" fontId="0" fillId="0" borderId="0" xfId="0" applyNumberFormat="1" applyFont="1" applyAlignment="1" applyProtection="1">
      <alignment horizontal="center"/>
    </xf>
    <xf numFmtId="0" fontId="7" fillId="0" borderId="0" xfId="0" applyFont="1" applyFill="1" applyBorder="1" applyProtection="1"/>
    <xf numFmtId="2" fontId="0" fillId="0" borderId="1" xfId="0" applyNumberFormat="1" applyFont="1" applyFill="1" applyBorder="1" applyAlignment="1" applyProtection="1">
      <alignment horizontal="center"/>
    </xf>
    <xf numFmtId="2" fontId="0" fillId="0" borderId="0" xfId="0" applyNumberFormat="1" applyFont="1" applyAlignment="1" applyProtection="1">
      <alignment horizontal="center"/>
    </xf>
    <xf numFmtId="0" fontId="8" fillId="3" borderId="13" xfId="0" applyFont="1" applyFill="1" applyBorder="1" applyAlignment="1" applyProtection="1">
      <alignment horizontal="center" vertical="top" wrapText="1"/>
    </xf>
    <xf numFmtId="0" fontId="3" fillId="3" borderId="14" xfId="0" applyFont="1" applyFill="1" applyBorder="1" applyAlignment="1" applyProtection="1">
      <alignment horizontal="center" vertical="top" wrapText="1"/>
    </xf>
    <xf numFmtId="0" fontId="3" fillId="3" borderId="15" xfId="0" applyFont="1" applyFill="1" applyBorder="1" applyAlignment="1" applyProtection="1">
      <alignment horizontal="center" vertical="top" wrapText="1"/>
    </xf>
    <xf numFmtId="0" fontId="8" fillId="3" borderId="4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horizontal="center" vertical="top" wrapText="1"/>
    </xf>
    <xf numFmtId="0" fontId="8" fillId="3" borderId="13" xfId="0" applyFont="1" applyFill="1" applyBorder="1" applyAlignment="1" applyProtection="1">
      <alignment horizontal="center" vertical="top"/>
    </xf>
    <xf numFmtId="0" fontId="8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top"/>
    </xf>
    <xf numFmtId="0" fontId="8" fillId="5" borderId="5" xfId="0" applyFont="1" applyFill="1" applyBorder="1" applyAlignment="1" applyProtection="1">
      <alignment horizontal="center" vertical="top"/>
    </xf>
    <xf numFmtId="0" fontId="8" fillId="3" borderId="14" xfId="0" applyFont="1" applyFill="1" applyBorder="1" applyAlignment="1" applyProtection="1">
      <alignment horizontal="center" vertical="center" wrapText="1"/>
    </xf>
    <xf numFmtId="1" fontId="0" fillId="0" borderId="6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166" fontId="0" fillId="6" borderId="0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Protection="1"/>
    <xf numFmtId="2" fontId="0" fillId="0" borderId="0" xfId="0" applyNumberFormat="1" applyAlignment="1"/>
    <xf numFmtId="9" fontId="0" fillId="0" borderId="0" xfId="0" applyNumberFormat="1" applyAlignment="1">
      <alignment horizontal="center"/>
    </xf>
    <xf numFmtId="9" fontId="0" fillId="0" borderId="0" xfId="3" applyFont="1"/>
    <xf numFmtId="0" fontId="5" fillId="0" borderId="0" xfId="0" applyFont="1" applyAlignment="1" applyProtection="1">
      <alignment horizont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2" fillId="0" borderId="0" xfId="2" applyAlignment="1" applyProtection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11" fillId="8" borderId="20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wrapText="1"/>
    </xf>
    <xf numFmtId="0" fontId="12" fillId="7" borderId="22" xfId="0" applyFont="1" applyFill="1" applyBorder="1" applyAlignment="1">
      <alignment horizontal="right" wrapText="1"/>
    </xf>
    <xf numFmtId="0" fontId="0" fillId="7" borderId="24" xfId="0" applyFill="1" applyBorder="1"/>
    <xf numFmtId="1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2" fillId="0" borderId="22" xfId="0" applyFont="1" applyFill="1" applyBorder="1" applyAlignment="1">
      <alignment horizontal="center" wrapText="1"/>
    </xf>
    <xf numFmtId="0" fontId="12" fillId="0" borderId="22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44" fontId="8" fillId="2" borderId="1" xfId="1" applyFont="1" applyFill="1" applyBorder="1" applyAlignment="1" applyProtection="1">
      <alignment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5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166" fontId="8" fillId="5" borderId="1" xfId="1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>
      <alignment horizontal="center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2" fillId="7" borderId="25" xfId="0" applyFont="1" applyFill="1" applyBorder="1" applyAlignment="1">
      <alignment horizontal="right" wrapText="1"/>
    </xf>
    <xf numFmtId="0" fontId="0" fillId="0" borderId="1" xfId="0" applyBorder="1"/>
    <xf numFmtId="2" fontId="0" fillId="0" borderId="1" xfId="0" applyNumberFormat="1" applyBorder="1"/>
    <xf numFmtId="0" fontId="0" fillId="0" borderId="26" xfId="0" applyBorder="1"/>
    <xf numFmtId="2" fontId="0" fillId="0" borderId="26" xfId="0" applyNumberFormat="1" applyBorder="1"/>
    <xf numFmtId="0" fontId="16" fillId="0" borderId="26" xfId="0" applyFont="1" applyBorder="1"/>
    <xf numFmtId="0" fontId="17" fillId="0" borderId="0" xfId="0" applyFont="1"/>
    <xf numFmtId="0" fontId="17" fillId="6" borderId="0" xfId="0" applyFont="1" applyFill="1"/>
    <xf numFmtId="0" fontId="17" fillId="6" borderId="0" xfId="0" applyFont="1" applyFill="1" applyBorder="1" applyAlignment="1">
      <alignment horizontal="center"/>
    </xf>
    <xf numFmtId="2" fontId="17" fillId="6" borderId="0" xfId="0" applyNumberFormat="1" applyFont="1" applyFill="1" applyBorder="1" applyAlignment="1">
      <alignment horizontal="center"/>
    </xf>
    <xf numFmtId="2" fontId="17" fillId="6" borderId="0" xfId="0" applyNumberFormat="1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17" fillId="6" borderId="2" xfId="0" applyFont="1" applyFill="1" applyBorder="1" applyAlignment="1"/>
    <xf numFmtId="0" fontId="17" fillId="6" borderId="10" xfId="0" applyFont="1" applyFill="1" applyBorder="1" applyAlignment="1"/>
    <xf numFmtId="0" fontId="17" fillId="6" borderId="1" xfId="0" applyFont="1" applyFill="1" applyBorder="1" applyAlignment="1">
      <alignment horizontal="center"/>
    </xf>
    <xf numFmtId="1" fontId="17" fillId="6" borderId="1" xfId="0" applyNumberFormat="1" applyFont="1" applyFill="1" applyBorder="1" applyAlignment="1">
      <alignment horizontal="center"/>
    </xf>
    <xf numFmtId="166" fontId="18" fillId="6" borderId="1" xfId="0" applyNumberFormat="1" applyFont="1" applyFill="1" applyBorder="1" applyAlignment="1">
      <alignment horizontal="center"/>
    </xf>
    <xf numFmtId="2" fontId="17" fillId="6" borderId="0" xfId="0" applyNumberFormat="1" applyFont="1" applyFill="1"/>
    <xf numFmtId="0" fontId="17" fillId="6" borderId="1" xfId="0" applyFont="1" applyFill="1" applyBorder="1"/>
    <xf numFmtId="166" fontId="17" fillId="6" borderId="1" xfId="0" applyNumberFormat="1" applyFont="1" applyFill="1" applyBorder="1" applyAlignment="1">
      <alignment horizontal="center"/>
    </xf>
    <xf numFmtId="0" fontId="17" fillId="6" borderId="0" xfId="0" applyFont="1" applyFill="1" applyBorder="1" applyAlignment="1"/>
    <xf numFmtId="0" fontId="17" fillId="0" borderId="0" xfId="0" applyFont="1" applyFill="1"/>
    <xf numFmtId="0" fontId="20" fillId="6" borderId="1" xfId="0" applyFont="1" applyFill="1" applyBorder="1" applyAlignment="1">
      <alignment horizontal="center"/>
    </xf>
    <xf numFmtId="2" fontId="20" fillId="6" borderId="1" xfId="0" applyNumberFormat="1" applyFont="1" applyFill="1" applyBorder="1" applyAlignment="1">
      <alignment horizontal="center"/>
    </xf>
    <xf numFmtId="166" fontId="20" fillId="6" borderId="1" xfId="0" applyNumberFormat="1" applyFont="1" applyFill="1" applyBorder="1" applyAlignment="1">
      <alignment horizontal="center"/>
    </xf>
    <xf numFmtId="2" fontId="20" fillId="6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166" fontId="21" fillId="0" borderId="1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5" borderId="13" xfId="0" applyFont="1" applyFill="1" applyBorder="1" applyAlignment="1" applyProtection="1">
      <alignment horizontal="center" vertical="top" wrapText="1"/>
    </xf>
    <xf numFmtId="0" fontId="8" fillId="5" borderId="14" xfId="0" applyFont="1" applyFill="1" applyBorder="1" applyAlignment="1" applyProtection="1">
      <alignment horizontal="center" vertical="top" wrapText="1"/>
    </xf>
    <xf numFmtId="0" fontId="8" fillId="5" borderId="15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2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6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6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/>
    <xf numFmtId="0" fontId="12" fillId="0" borderId="2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/>
  </cellXfs>
  <cellStyles count="4">
    <cellStyle name="Hyperlink" xfId="2" builtinId="8"/>
    <cellStyle name="Normal" xfId="0" builtinId="0"/>
    <cellStyle name="Procent" xfId="3" builtinId="5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Data!$K$18</c:f>
          <c:strCache>
            <c:ptCount val="1"/>
            <c:pt idx="0">
              <c:v>Belastningen vægt [kg] og kraft  [N] som funktion af vandring i mm</c:v>
            </c:pt>
          </c:strCache>
        </c:strRef>
      </c:tx>
      <c:layout>
        <c:manualLayout>
          <c:xMode val="edge"/>
          <c:yMode val="edge"/>
          <c:x val="8.7269609693437153E-2"/>
          <c:y val="1.6064191976002999E-2"/>
        </c:manualLayout>
      </c:layout>
      <c:txPr>
        <a:bodyPr/>
        <a:lstStyle/>
        <a:p>
          <a:pPr>
            <a:defRPr sz="1800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Data!$K$19:$L$19</c:f>
              <c:strCache>
                <c:ptCount val="1"/>
                <c:pt idx="0">
                  <c:v>Vægt kg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100">
                    <a:solidFill>
                      <a:srgbClr val="00B05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Data!$M$21:$V$21</c:f>
              <c:numCache>
                <c:formatCode>0.00</c:formatCode>
                <c:ptCount val="10"/>
                <c:pt idx="0">
                  <c:v>0</c:v>
                </c:pt>
                <c:pt idx="1">
                  <c:v>1.24</c:v>
                </c:pt>
                <c:pt idx="2">
                  <c:v>2.4700000000000002</c:v>
                </c:pt>
                <c:pt idx="3">
                  <c:v>3.71</c:v>
                </c:pt>
                <c:pt idx="4">
                  <c:v>4.9400000000000004</c:v>
                </c:pt>
                <c:pt idx="5">
                  <c:v>6.18</c:v>
                </c:pt>
                <c:pt idx="6">
                  <c:v>7.41</c:v>
                </c:pt>
                <c:pt idx="7">
                  <c:v>7.9</c:v>
                </c:pt>
                <c:pt idx="8">
                  <c:v>8.65</c:v>
                </c:pt>
                <c:pt idx="9">
                  <c:v>18.100000000000001</c:v>
                </c:pt>
              </c:numCache>
            </c:numRef>
          </c:cat>
          <c:val>
            <c:numRef>
              <c:f>Data!$M$19:$V$19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32</c:v>
                </c:pt>
                <c:pt idx="8">
                  <c:v>35</c:v>
                </c:pt>
                <c:pt idx="9">
                  <c:v>72.39</c:v>
                </c:pt>
              </c:numCache>
            </c:numRef>
          </c:val>
        </c:ser>
        <c:hiLowLines/>
        <c:marker val="1"/>
        <c:axId val="164323328"/>
        <c:axId val="164325248"/>
      </c:lineChart>
      <c:lineChart>
        <c:grouping val="standard"/>
        <c:ser>
          <c:idx val="1"/>
          <c:order val="1"/>
          <c:tx>
            <c:strRef>
              <c:f>Data!$K$20:$L$20</c:f>
              <c:strCache>
                <c:ptCount val="1"/>
                <c:pt idx="0">
                  <c:v>Kraft 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100">
                    <a:solidFill>
                      <a:srgbClr val="FF0000"/>
                    </a:solidFill>
                  </a:defRPr>
                </a:pPr>
                <a:endParaRPr lang="da-DK"/>
              </a:p>
            </c:txPr>
            <c:dLblPos val="b"/>
            <c:showVal val="1"/>
          </c:dLbls>
          <c:cat>
            <c:numRef>
              <c:f>Data!$M$21:$V$21</c:f>
              <c:numCache>
                <c:formatCode>0.00</c:formatCode>
                <c:ptCount val="10"/>
                <c:pt idx="0">
                  <c:v>0</c:v>
                </c:pt>
                <c:pt idx="1">
                  <c:v>1.24</c:v>
                </c:pt>
                <c:pt idx="2">
                  <c:v>2.4700000000000002</c:v>
                </c:pt>
                <c:pt idx="3">
                  <c:v>3.71</c:v>
                </c:pt>
                <c:pt idx="4">
                  <c:v>4.9400000000000004</c:v>
                </c:pt>
                <c:pt idx="5">
                  <c:v>6.18</c:v>
                </c:pt>
                <c:pt idx="6">
                  <c:v>7.41</c:v>
                </c:pt>
                <c:pt idx="7">
                  <c:v>7.9</c:v>
                </c:pt>
                <c:pt idx="8">
                  <c:v>8.65</c:v>
                </c:pt>
                <c:pt idx="9">
                  <c:v>18.100000000000001</c:v>
                </c:pt>
              </c:numCache>
            </c:numRef>
          </c:cat>
          <c:val>
            <c:numRef>
              <c:f>Data!$M$20:$V$20</c:f>
              <c:numCache>
                <c:formatCode>0</c:formatCode>
                <c:ptCount val="10"/>
                <c:pt idx="0">
                  <c:v>0</c:v>
                </c:pt>
                <c:pt idx="1">
                  <c:v>49.033249999999995</c:v>
                </c:pt>
                <c:pt idx="2">
                  <c:v>98.066499999999991</c:v>
                </c:pt>
                <c:pt idx="3">
                  <c:v>147.09975</c:v>
                </c:pt>
                <c:pt idx="4">
                  <c:v>196.13299999999998</c:v>
                </c:pt>
                <c:pt idx="5">
                  <c:v>245.16624999999999</c:v>
                </c:pt>
                <c:pt idx="6">
                  <c:v>294.1995</c:v>
                </c:pt>
                <c:pt idx="7">
                  <c:v>313.81279999999998</c:v>
                </c:pt>
                <c:pt idx="8">
                  <c:v>343.23274999999995</c:v>
                </c:pt>
                <c:pt idx="9">
                  <c:v>709.88</c:v>
                </c:pt>
              </c:numCache>
            </c:numRef>
          </c:val>
        </c:ser>
        <c:marker val="1"/>
        <c:axId val="164328960"/>
        <c:axId val="164327424"/>
      </c:lineChart>
      <c:catAx>
        <c:axId val="164323328"/>
        <c:scaling>
          <c:orientation val="minMax"/>
        </c:scaling>
        <c:axPos val="b"/>
        <c:majorGridlines/>
        <c:title>
          <c:tx>
            <c:strRef>
              <c:f>Data!$K$21:$L$21</c:f>
              <c:strCache>
                <c:ptCount val="1"/>
                <c:pt idx="0">
                  <c:v>Vandring i mm</c:v>
                </c:pt>
              </c:strCache>
            </c:strRef>
          </c:tx>
          <c:layout>
            <c:manualLayout>
              <c:xMode val="edge"/>
              <c:yMode val="edge"/>
              <c:x val="0.81157469363617796"/>
              <c:y val="0.9038180227471565"/>
            </c:manualLayout>
          </c:layout>
          <c:txPr>
            <a:bodyPr/>
            <a:lstStyle/>
            <a:p>
              <a:pPr>
                <a:defRPr sz="1200"/>
              </a:pPr>
              <a:endParaRPr lang="da-DK"/>
            </a:p>
          </c:txPr>
        </c:title>
        <c:numFmt formatCode="0.00" sourceLinked="1"/>
        <c:maj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4325248"/>
        <c:crosses val="autoZero"/>
        <c:auto val="1"/>
        <c:lblAlgn val="ctr"/>
        <c:lblOffset val="100"/>
        <c:tickLblSkip val="1"/>
        <c:tickMarkSkip val="1"/>
      </c:catAx>
      <c:valAx>
        <c:axId val="164325248"/>
        <c:scaling>
          <c:orientation val="minMax"/>
        </c:scaling>
        <c:axPos val="l"/>
        <c:majorGridlines/>
        <c:title>
          <c:tx>
            <c:strRef>
              <c:f>Data!$P$18</c:f>
              <c:strCache>
                <c:ptCount val="1"/>
                <c:pt idx="0">
                  <c:v>Belastning</c:v>
                </c:pt>
              </c:strCache>
            </c:strRef>
          </c:tx>
          <c:layout>
            <c:manualLayout>
              <c:xMode val="edge"/>
              <c:yMode val="edge"/>
              <c:x val="7.1034831005532635E-3"/>
              <c:y val="0.37836448154824359"/>
            </c:manualLayout>
          </c:layout>
          <c:txPr>
            <a:bodyPr/>
            <a:lstStyle/>
            <a:p>
              <a:pPr>
                <a:defRPr sz="12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B05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4323328"/>
        <c:crosses val="autoZero"/>
        <c:crossBetween val="midCat"/>
        <c:majorUnit val="5"/>
        <c:minorUnit val="2"/>
      </c:valAx>
      <c:valAx>
        <c:axId val="164327424"/>
        <c:scaling>
          <c:orientation val="minMax"/>
        </c:scaling>
        <c:axPos val="r"/>
        <c:majorGridlines/>
        <c:numFmt formatCode="0" sourceLinked="1"/>
        <c:tickLblPos val="nextTo"/>
        <c:txPr>
          <a:bodyPr/>
          <a:lstStyle/>
          <a:p>
            <a:pPr>
              <a:defRPr sz="1100">
                <a:solidFill>
                  <a:srgbClr val="FF0000"/>
                </a:solidFill>
              </a:defRPr>
            </a:pPr>
            <a:endParaRPr lang="da-DK"/>
          </a:p>
        </c:txPr>
        <c:crossAx val="164328960"/>
        <c:crosses val="max"/>
        <c:crossBetween val="between"/>
      </c:valAx>
      <c:catAx>
        <c:axId val="164328960"/>
        <c:scaling>
          <c:orientation val="minMax"/>
        </c:scaling>
        <c:delete val="1"/>
        <c:axPos val="b"/>
        <c:numFmt formatCode="0.00" sourceLinked="1"/>
        <c:tickLblPos val="none"/>
        <c:crossAx val="164327424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38370487163173433"/>
          <c:w val="0.14843147971244225"/>
          <c:h val="0.28898587616239235"/>
        </c:manualLayout>
      </c:layout>
      <c:txPr>
        <a:bodyPr/>
        <a:lstStyle/>
        <a:p>
          <a:pPr>
            <a:defRPr sz="1200">
              <a:solidFill>
                <a:sysClr val="windowText" lastClr="000000"/>
              </a:solidFill>
            </a:defRPr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Data!$K$53</c:f>
          <c:strCache>
            <c:ptCount val="1"/>
            <c:pt idx="0">
              <c:v>Vægten som funktion af omdrejninger</c:v>
            </c:pt>
          </c:strCache>
        </c:strRef>
      </c:tx>
      <c:layout>
        <c:manualLayout>
          <c:xMode val="edge"/>
          <c:yMode val="edge"/>
          <c:x val="0.22672014821676703"/>
          <c:y val="1.6064185158673347E-2"/>
        </c:manualLayout>
      </c:layout>
      <c:txPr>
        <a:bodyPr/>
        <a:lstStyle/>
        <a:p>
          <a:pPr>
            <a:defRPr sz="1800">
              <a:solidFill>
                <a:sysClr val="windowText" lastClr="000000"/>
              </a:solidFill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1"/>
          <c:order val="0"/>
          <c:tx>
            <c:strRef>
              <c:f>Data!$K$44</c:f>
              <c:strCache>
                <c:ptCount val="1"/>
                <c:pt idx="0">
                  <c:v>Vægt kg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100">
                    <a:solidFill>
                      <a:srgbClr val="00B050"/>
                    </a:solidFill>
                  </a:defRPr>
                </a:pPr>
                <a:endParaRPr lang="da-DK"/>
              </a:p>
            </c:txPr>
            <c:dLblPos val="b"/>
            <c:showVal val="1"/>
          </c:dLbls>
          <c:cat>
            <c:numRef>
              <c:f>Data!$M$43:$Y$43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Data!$M$44:$Y$44</c:f>
              <c:numCache>
                <c:formatCode>0</c:formatCode>
                <c:ptCount val="13"/>
                <c:pt idx="0" formatCode="General">
                  <c:v>0</c:v>
                </c:pt>
                <c:pt idx="1">
                  <c:v>6.0724100482835635</c:v>
                </c:pt>
                <c:pt idx="2">
                  <c:v>12.144820096567127</c:v>
                </c:pt>
                <c:pt idx="3">
                  <c:v>18.217230144850692</c:v>
                </c:pt>
                <c:pt idx="4">
                  <c:v>24.289640193134254</c:v>
                </c:pt>
                <c:pt idx="5">
                  <c:v>30.362050241417819</c:v>
                </c:pt>
                <c:pt idx="6">
                  <c:v>36.434460289701384</c:v>
                </c:pt>
                <c:pt idx="7">
                  <c:v>42.50687033798495</c:v>
                </c:pt>
                <c:pt idx="8">
                  <c:v>48.579280386268508</c:v>
                </c:pt>
                <c:pt idx="9">
                  <c:v>54.651690434552073</c:v>
                </c:pt>
                <c:pt idx="10">
                  <c:v>60.724100482835638</c:v>
                </c:pt>
                <c:pt idx="11">
                  <c:v>66.796510531119196</c:v>
                </c:pt>
                <c:pt idx="12">
                  <c:v>72.868920579402769</c:v>
                </c:pt>
              </c:numCache>
            </c:numRef>
          </c:val>
        </c:ser>
        <c:marker val="1"/>
        <c:axId val="164357632"/>
        <c:axId val="164359552"/>
      </c:lineChart>
      <c:catAx>
        <c:axId val="164357632"/>
        <c:scaling>
          <c:orientation val="minMax"/>
        </c:scaling>
        <c:axPos val="b"/>
        <c:majorGridlines/>
        <c:minorGridlines/>
        <c:title>
          <c:tx>
            <c:strRef>
              <c:f>Data!$K$43</c:f>
              <c:strCache>
                <c:ptCount val="1"/>
                <c:pt idx="0">
                  <c:v>Omdrejninger</c:v>
                </c:pt>
              </c:strCache>
            </c:strRef>
          </c:tx>
          <c:layout>
            <c:manualLayout>
              <c:xMode val="edge"/>
              <c:yMode val="edge"/>
              <c:x val="0.84719814603327515"/>
              <c:y val="0.90381792275965456"/>
            </c:manualLayout>
          </c:layout>
          <c:txPr>
            <a:bodyPr/>
            <a:lstStyle/>
            <a:p>
              <a:pPr>
                <a:defRPr sz="1200">
                  <a:solidFill>
                    <a:srgbClr val="0070C0"/>
                  </a:solidFill>
                </a:defRPr>
              </a:pPr>
              <a:endParaRPr lang="da-DK"/>
            </a:p>
          </c:tx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4359552"/>
        <c:crosses val="autoZero"/>
        <c:auto val="1"/>
        <c:lblAlgn val="ctr"/>
        <c:lblOffset val="100"/>
        <c:tickLblSkip val="1"/>
        <c:tickMarkSkip val="1"/>
      </c:catAx>
      <c:valAx>
        <c:axId val="164359552"/>
        <c:scaling>
          <c:orientation val="minMax"/>
        </c:scaling>
        <c:axPos val="l"/>
        <c:majorGridlines/>
        <c:minorGridlines/>
        <c:title>
          <c:tx>
            <c:strRef>
              <c:f>Data!$K$44</c:f>
              <c:strCache>
                <c:ptCount val="1"/>
                <c:pt idx="0">
                  <c:v>Vægt kg</c:v>
                </c:pt>
              </c:strCache>
            </c:strRef>
          </c:tx>
          <c:layout>
            <c:manualLayout>
              <c:xMode val="edge"/>
              <c:yMode val="edge"/>
              <c:x val="1.2217137563686892E-2"/>
              <c:y val="0.42708750894774516"/>
            </c:manualLayout>
          </c:layout>
          <c:txPr>
            <a:bodyPr/>
            <a:lstStyle/>
            <a:p>
              <a:pPr>
                <a:defRPr sz="1200">
                  <a:solidFill>
                    <a:srgbClr val="00B050"/>
                  </a:solidFill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B05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4357632"/>
        <c:crosses val="autoZero"/>
        <c:crossBetween val="midCat"/>
        <c:minorUnit val="1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64140169502075"/>
          <c:y val="0.38370487163173445"/>
          <c:w val="0.18235859830498288"/>
          <c:h val="0.28898587616239246"/>
        </c:manualLayout>
      </c:layout>
      <c:txPr>
        <a:bodyPr/>
        <a:lstStyle/>
        <a:p>
          <a:pPr>
            <a:defRPr sz="1200">
              <a:solidFill>
                <a:sysClr val="windowText" lastClr="000000"/>
              </a:solidFill>
            </a:defRPr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Data!$K$72</c:f>
          <c:strCache>
            <c:ptCount val="1"/>
            <c:pt idx="0">
              <c:v>Kraften N som funktion af omdrejninger</c:v>
            </c:pt>
          </c:strCache>
        </c:strRef>
      </c:tx>
      <c:layout>
        <c:manualLayout>
          <c:xMode val="edge"/>
          <c:yMode val="edge"/>
          <c:x val="0.11848479299495597"/>
          <c:y val="1.6064257028112521E-2"/>
        </c:manualLayout>
      </c:layout>
      <c:txPr>
        <a:bodyPr/>
        <a:lstStyle/>
        <a:p>
          <a:pPr>
            <a:defRPr sz="1800">
              <a:solidFill>
                <a:sysClr val="windowText" lastClr="000000"/>
              </a:solidFill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1"/>
          <c:order val="0"/>
          <c:tx>
            <c:strRef>
              <c:f>Data!$K$45</c:f>
              <c:strCache>
                <c:ptCount val="1"/>
                <c:pt idx="0">
                  <c:v>Kraft 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100">
                    <a:solidFill>
                      <a:srgbClr val="FF0000"/>
                    </a:solidFill>
                  </a:defRPr>
                </a:pPr>
                <a:endParaRPr lang="da-DK"/>
              </a:p>
            </c:txPr>
            <c:dLblPos val="b"/>
            <c:showVal val="1"/>
          </c:dLbls>
          <c:cat>
            <c:numRef>
              <c:f>Data!$M$43:$Y$43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Data!$M$45:$Y$45</c:f>
              <c:numCache>
                <c:formatCode>0</c:formatCode>
                <c:ptCount val="13"/>
                <c:pt idx="0" formatCode="General">
                  <c:v>0</c:v>
                </c:pt>
                <c:pt idx="1">
                  <c:v>59.550000000000004</c:v>
                </c:pt>
                <c:pt idx="2">
                  <c:v>119.10000000000001</c:v>
                </c:pt>
                <c:pt idx="3">
                  <c:v>178.65</c:v>
                </c:pt>
                <c:pt idx="4">
                  <c:v>238.20000000000002</c:v>
                </c:pt>
                <c:pt idx="5">
                  <c:v>297.75</c:v>
                </c:pt>
                <c:pt idx="6">
                  <c:v>357.3</c:v>
                </c:pt>
                <c:pt idx="7">
                  <c:v>416.85</c:v>
                </c:pt>
                <c:pt idx="8">
                  <c:v>476.40000000000003</c:v>
                </c:pt>
                <c:pt idx="9">
                  <c:v>535.95000000000005</c:v>
                </c:pt>
                <c:pt idx="10">
                  <c:v>595.5</c:v>
                </c:pt>
                <c:pt idx="11">
                  <c:v>655.05000000000007</c:v>
                </c:pt>
                <c:pt idx="12">
                  <c:v>714.6</c:v>
                </c:pt>
              </c:numCache>
            </c:numRef>
          </c:val>
        </c:ser>
        <c:marker val="1"/>
        <c:axId val="164483072"/>
        <c:axId val="164484992"/>
      </c:lineChart>
      <c:catAx>
        <c:axId val="164483072"/>
        <c:scaling>
          <c:orientation val="minMax"/>
        </c:scaling>
        <c:axPos val="b"/>
        <c:majorGridlines/>
        <c:minorGridlines/>
        <c:title>
          <c:tx>
            <c:strRef>
              <c:f>Data!$K$43</c:f>
              <c:strCache>
                <c:ptCount val="1"/>
                <c:pt idx="0">
                  <c:v>Omdrejninger</c:v>
                </c:pt>
              </c:strCache>
            </c:strRef>
          </c:tx>
          <c:layout>
            <c:manualLayout>
              <c:xMode val="edge"/>
              <c:yMode val="edge"/>
              <c:x val="0.84719814603327548"/>
              <c:y val="0.90381792275965456"/>
            </c:manualLayout>
          </c:layout>
          <c:txPr>
            <a:bodyPr/>
            <a:lstStyle/>
            <a:p>
              <a:pPr>
                <a:defRPr sz="1200">
                  <a:solidFill>
                    <a:srgbClr val="0070C0"/>
                  </a:solidFill>
                </a:defRPr>
              </a:pPr>
              <a:endParaRPr lang="da-DK"/>
            </a:p>
          </c:tx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4484992"/>
        <c:crosses val="autoZero"/>
        <c:auto val="1"/>
        <c:lblAlgn val="ctr"/>
        <c:lblOffset val="100"/>
        <c:tickLblSkip val="1"/>
        <c:tickMarkSkip val="1"/>
      </c:catAx>
      <c:valAx>
        <c:axId val="164484992"/>
        <c:scaling>
          <c:orientation val="minMax"/>
        </c:scaling>
        <c:axPos val="l"/>
        <c:majorGridlines/>
        <c:minorGridlines/>
        <c:title>
          <c:tx>
            <c:strRef>
              <c:f>Data!$K$45</c:f>
              <c:strCache>
                <c:ptCount val="1"/>
                <c:pt idx="0">
                  <c:v>Kraft N</c:v>
                </c:pt>
              </c:strCache>
            </c:strRef>
          </c:tx>
          <c:layout>
            <c:manualLayout>
              <c:xMode val="edge"/>
              <c:yMode val="edge"/>
              <c:x val="1.2053975605990428E-2"/>
              <c:y val="0.44693603299587553"/>
            </c:manualLayout>
          </c:layout>
          <c:txPr>
            <a:bodyPr/>
            <a:lstStyle/>
            <a:p>
              <a:pPr>
                <a:defRPr sz="1200">
                  <a:solidFill>
                    <a:srgbClr val="FF0000"/>
                  </a:solidFill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4483072"/>
        <c:crosses val="autoZero"/>
        <c:crossBetween val="midCat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64140169502109"/>
          <c:y val="0.38370487163173456"/>
          <c:w val="0.18235859830498288"/>
          <c:h val="0.28898587616239257"/>
        </c:manualLayout>
      </c:layout>
      <c:txPr>
        <a:bodyPr/>
        <a:lstStyle/>
        <a:p>
          <a:pPr>
            <a:defRPr sz="1200">
              <a:solidFill>
                <a:sysClr val="windowText" lastClr="000000"/>
              </a:solidFill>
            </a:defRPr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Data!$K$92</c:f>
          <c:strCache>
            <c:ptCount val="1"/>
            <c:pt idx="0">
              <c:v>Målt vægt som funktion af omdrejninger</c:v>
            </c:pt>
          </c:strCache>
        </c:strRef>
      </c:tx>
      <c:layout>
        <c:manualLayout>
          <c:xMode val="edge"/>
          <c:yMode val="edge"/>
          <c:x val="0.11848479299495597"/>
          <c:y val="1.6064257028112521E-2"/>
        </c:manualLayout>
      </c:layout>
      <c:txPr>
        <a:bodyPr/>
        <a:lstStyle/>
        <a:p>
          <a:pPr>
            <a:defRPr sz="1800">
              <a:solidFill>
                <a:sysClr val="windowText" lastClr="000000"/>
              </a:solidFill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1"/>
          <c:order val="0"/>
          <c:tx>
            <c:strRef>
              <c:f>Data!$K$47</c:f>
              <c:strCache>
                <c:ptCount val="1"/>
                <c:pt idx="0">
                  <c:v>Målt Vægt i kg med SG 40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100">
                    <a:solidFill>
                      <a:srgbClr val="00B050"/>
                    </a:solidFill>
                  </a:defRPr>
                </a:pPr>
                <a:endParaRPr lang="da-DK"/>
              </a:p>
            </c:txPr>
            <c:dLblPos val="b"/>
            <c:showVal val="1"/>
          </c:dLbls>
          <c:cat>
            <c:numRef>
              <c:f>Data!$M$43:$Y$43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Data!$M$47:$Y$47</c:f>
              <c:numCache>
                <c:formatCode>0.0</c:formatCode>
                <c:ptCount val="13"/>
                <c:pt idx="0" formatCode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12.1</c:v>
                </c:pt>
                <c:pt idx="4">
                  <c:v>16.100000000000001</c:v>
                </c:pt>
                <c:pt idx="5">
                  <c:v>20.100000000000001</c:v>
                </c:pt>
                <c:pt idx="6">
                  <c:v>24.3</c:v>
                </c:pt>
                <c:pt idx="7">
                  <c:v>27.52</c:v>
                </c:pt>
                <c:pt idx="8">
                  <c:v>31.619999999999997</c:v>
                </c:pt>
                <c:pt idx="9">
                  <c:v>35.619999999999997</c:v>
                </c:pt>
                <c:pt idx="10">
                  <c:v>39.619999999999997</c:v>
                </c:pt>
                <c:pt idx="11">
                  <c:v>43.62</c:v>
                </c:pt>
                <c:pt idx="12">
                  <c:v>47.62</c:v>
                </c:pt>
              </c:numCache>
            </c:numRef>
          </c:val>
        </c:ser>
        <c:marker val="1"/>
        <c:axId val="164534528"/>
        <c:axId val="164536704"/>
      </c:lineChart>
      <c:catAx>
        <c:axId val="164534528"/>
        <c:scaling>
          <c:orientation val="minMax"/>
        </c:scaling>
        <c:axPos val="b"/>
        <c:majorGridlines/>
        <c:minorGridlines/>
        <c:title>
          <c:tx>
            <c:strRef>
              <c:f>Data!$K$43</c:f>
              <c:strCache>
                <c:ptCount val="1"/>
                <c:pt idx="0">
                  <c:v>Omdrejninger</c:v>
                </c:pt>
              </c:strCache>
            </c:strRef>
          </c:tx>
          <c:layout>
            <c:manualLayout>
              <c:xMode val="edge"/>
              <c:yMode val="edge"/>
              <c:x val="0.84719814603327603"/>
              <c:y val="0.90381792275965456"/>
            </c:manualLayout>
          </c:layout>
          <c:txPr>
            <a:bodyPr/>
            <a:lstStyle/>
            <a:p>
              <a:pPr>
                <a:defRPr sz="1200">
                  <a:solidFill>
                    <a:srgbClr val="0070C0"/>
                  </a:solidFill>
                </a:defRPr>
              </a:pPr>
              <a:endParaRPr lang="da-DK"/>
            </a:p>
          </c:tx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4536704"/>
        <c:crosses val="autoZero"/>
        <c:auto val="1"/>
        <c:lblAlgn val="ctr"/>
        <c:lblOffset val="100"/>
        <c:tickLblSkip val="1"/>
        <c:tickMarkSkip val="1"/>
      </c:catAx>
      <c:valAx>
        <c:axId val="164536704"/>
        <c:scaling>
          <c:orientation val="minMax"/>
        </c:scaling>
        <c:axPos val="l"/>
        <c:majorGridlines/>
        <c:minorGridlines/>
        <c:title>
          <c:tx>
            <c:strRef>
              <c:f>Data!$K$47</c:f>
              <c:strCache>
                <c:ptCount val="1"/>
                <c:pt idx="0">
                  <c:v>Målt Vægt i kg med SG 40</c:v>
                </c:pt>
              </c:strCache>
            </c:strRef>
          </c:tx>
          <c:layout>
            <c:manualLayout>
              <c:xMode val="edge"/>
              <c:yMode val="edge"/>
              <c:x val="1.205400067565812E-2"/>
              <c:y val="0.28693603299587661"/>
            </c:manualLayout>
          </c:layout>
          <c:txPr>
            <a:bodyPr/>
            <a:lstStyle/>
            <a:p>
              <a:pPr>
                <a:defRPr sz="1200">
                  <a:solidFill>
                    <a:srgbClr val="00B05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B05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4534528"/>
        <c:crosses val="autoZero"/>
        <c:crossBetween val="midCat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64140169502186"/>
          <c:y val="0.38370487163173478"/>
          <c:w val="0.18235859830498288"/>
          <c:h val="0.28898587616239291"/>
        </c:manualLayout>
      </c:layout>
      <c:txPr>
        <a:bodyPr/>
        <a:lstStyle/>
        <a:p>
          <a:pPr>
            <a:defRPr sz="1200">
              <a:solidFill>
                <a:sysClr val="windowText" lastClr="000000"/>
              </a:solidFill>
            </a:defRPr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Vandring!$G$10</c:f>
          <c:strCache>
            <c:ptCount val="1"/>
            <c:pt idx="0">
              <c:v>Y = f(X) eller Belastningen i kg som funktion af fjederens sammentrykning i mm</c:v>
            </c:pt>
          </c:strCache>
        </c:strRef>
      </c:tx>
      <c:layout>
        <c:manualLayout>
          <c:xMode val="edge"/>
          <c:yMode val="edge"/>
          <c:x val="0.25946142400989686"/>
          <c:y val="3.0248692317715611E-2"/>
        </c:manualLayout>
      </c:layout>
      <c:txPr>
        <a:bodyPr/>
        <a:lstStyle/>
        <a:p>
          <a:pPr>
            <a:defRPr sz="2000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8282782486584079"/>
          <c:h val="0.75980333983524151"/>
        </c:manualLayout>
      </c:layout>
      <c:lineChart>
        <c:grouping val="standard"/>
        <c:ser>
          <c:idx val="0"/>
          <c:order val="0"/>
          <c:tx>
            <c:strRef>
              <c:f>Vandring!$B$6</c:f>
              <c:strCache>
                <c:ptCount val="1"/>
                <c:pt idx="0">
                  <c:v>Vægt kg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Vandring!$C$9:$W$9</c:f>
              <c:numCache>
                <c:formatCode>0.0</c:formatCode>
                <c:ptCount val="21"/>
                <c:pt idx="0">
                  <c:v>41</c:v>
                </c:pt>
                <c:pt idx="1">
                  <c:v>40.51</c:v>
                </c:pt>
                <c:pt idx="2">
                  <c:v>40.01</c:v>
                </c:pt>
                <c:pt idx="3">
                  <c:v>39.520000000000003</c:v>
                </c:pt>
                <c:pt idx="4">
                  <c:v>39.020000000000003</c:v>
                </c:pt>
                <c:pt idx="5">
                  <c:v>38.53</c:v>
                </c:pt>
                <c:pt idx="6">
                  <c:v>38.04</c:v>
                </c:pt>
                <c:pt idx="7">
                  <c:v>37.54</c:v>
                </c:pt>
                <c:pt idx="8">
                  <c:v>37.049999999999997</c:v>
                </c:pt>
                <c:pt idx="9">
                  <c:v>36.549999999999997</c:v>
                </c:pt>
                <c:pt idx="10">
                  <c:v>36.06</c:v>
                </c:pt>
                <c:pt idx="11">
                  <c:v>35.57</c:v>
                </c:pt>
                <c:pt idx="12">
                  <c:v>35.07</c:v>
                </c:pt>
                <c:pt idx="13">
                  <c:v>34.58</c:v>
                </c:pt>
                <c:pt idx="14">
                  <c:v>34.08</c:v>
                </c:pt>
                <c:pt idx="15">
                  <c:v>33.590000000000003</c:v>
                </c:pt>
                <c:pt idx="16">
                  <c:v>33.1</c:v>
                </c:pt>
                <c:pt idx="17">
                  <c:v>32.6</c:v>
                </c:pt>
                <c:pt idx="18">
                  <c:v>32.11</c:v>
                </c:pt>
                <c:pt idx="19">
                  <c:v>31.61</c:v>
                </c:pt>
                <c:pt idx="20">
                  <c:v>31.119999999999997</c:v>
                </c:pt>
              </c:numCache>
            </c:numRef>
          </c:cat>
          <c:val>
            <c:numRef>
              <c:f>Vandring!$C$6:$W$6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</c:numCache>
            </c:numRef>
          </c:val>
        </c:ser>
        <c:hiLowLines/>
        <c:marker val="1"/>
        <c:axId val="164634624"/>
        <c:axId val="164636544"/>
      </c:lineChart>
      <c:catAx>
        <c:axId val="164634624"/>
        <c:scaling>
          <c:orientation val="minMax"/>
        </c:scaling>
        <c:axPos val="b"/>
        <c:majorGridlines/>
        <c:minorGridlines/>
        <c:title>
          <c:tx>
            <c:strRef>
              <c:f>Vandring!$B$9</c:f>
              <c:strCache>
                <c:ptCount val="1"/>
                <c:pt idx="0">
                  <c:v>Ln i mm</c:v>
                </c:pt>
              </c:strCache>
            </c:strRef>
          </c:tx>
          <c:layout>
            <c:manualLayout>
              <c:xMode val="edge"/>
              <c:yMode val="edge"/>
              <c:x val="0.8905555945634186"/>
              <c:y val="0.89908992758883965"/>
            </c:manualLayout>
          </c:layout>
          <c:txPr>
            <a:bodyPr/>
            <a:lstStyle/>
            <a:p>
              <a:pPr>
                <a:defRPr sz="1600"/>
              </a:pPr>
              <a:endParaRPr lang="da-DK"/>
            </a:p>
          </c:txPr>
        </c:title>
        <c:numFmt formatCode="0.0" sourceLinked="1"/>
        <c:maj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4636544"/>
        <c:crosses val="autoZero"/>
        <c:auto val="1"/>
        <c:lblAlgn val="ctr"/>
        <c:lblOffset val="100"/>
        <c:tickLblSkip val="1"/>
        <c:tickMarkSkip val="1"/>
      </c:catAx>
      <c:valAx>
        <c:axId val="164636544"/>
        <c:scaling>
          <c:orientation val="minMax"/>
        </c:scaling>
        <c:axPos val="l"/>
        <c:majorGridlines/>
        <c:minorGridlines/>
        <c:title>
          <c:tx>
            <c:strRef>
              <c:f>Vandring!$I$5</c:f>
              <c:strCache>
                <c:ptCount val="1"/>
                <c:pt idx="0">
                  <c:v>Belastning i kg</c:v>
                </c:pt>
              </c:strCache>
            </c:strRef>
          </c:tx>
          <c:layout>
            <c:manualLayout>
              <c:xMode val="edge"/>
              <c:yMode val="edge"/>
              <c:x val="2.1540832873597811E-2"/>
              <c:y val="0.32871912287559801"/>
            </c:manualLayout>
          </c:layout>
          <c:txPr>
            <a:bodyPr/>
            <a:lstStyle/>
            <a:p>
              <a:pPr>
                <a:defRPr sz="20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4634624"/>
        <c:crosses val="autoZero"/>
        <c:crossBetween val="midCat"/>
        <c:majorUnit val="5"/>
        <c:minorUnit val="2.5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6849381617461"/>
          <c:y val="0.38370487163173445"/>
          <c:w val="0.14843147971244236"/>
          <c:h val="0.28898587616239246"/>
        </c:manualLayout>
      </c:layout>
      <c:txPr>
        <a:bodyPr/>
        <a:lstStyle/>
        <a:p>
          <a:pPr>
            <a:defRPr sz="1600">
              <a:solidFill>
                <a:sysClr val="windowText" lastClr="000000"/>
              </a:solidFill>
            </a:defRPr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4803149606299324" l="0.70866141732283594" r="0.70866141732283594" t="0.74803149606299324" header="0.51181102362204722" footer="0.51181102362204722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Data!$K$92</c:f>
          <c:strCache>
            <c:ptCount val="1"/>
            <c:pt idx="0">
              <c:v>Målt vægt som funktion af omdrejninger</c:v>
            </c:pt>
          </c:strCache>
        </c:strRef>
      </c:tx>
      <c:layout>
        <c:manualLayout>
          <c:xMode val="edge"/>
          <c:yMode val="edge"/>
          <c:x val="0.29985125772321936"/>
          <c:y val="3.320216720981857E-2"/>
        </c:manualLayout>
      </c:layout>
      <c:txPr>
        <a:bodyPr/>
        <a:lstStyle/>
        <a:p>
          <a:pPr>
            <a:defRPr sz="1800">
              <a:solidFill>
                <a:sysClr val="windowText" lastClr="000000"/>
              </a:solidFill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1"/>
          <c:order val="0"/>
          <c:tx>
            <c:strRef>
              <c:f>Data!$K$47</c:f>
              <c:strCache>
                <c:ptCount val="1"/>
                <c:pt idx="0">
                  <c:v>Målt Vægt i kg med SG 40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100">
                    <a:solidFill>
                      <a:srgbClr val="00B050"/>
                    </a:solidFill>
                  </a:defRPr>
                </a:pPr>
                <a:endParaRPr lang="da-DK"/>
              </a:p>
            </c:txPr>
            <c:dLblPos val="b"/>
            <c:showVal val="1"/>
          </c:dLbls>
          <c:cat>
            <c:numRef>
              <c:f>Data!$M$43:$Y$43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Data!$M$47:$Y$47</c:f>
              <c:numCache>
                <c:formatCode>0.0</c:formatCode>
                <c:ptCount val="13"/>
                <c:pt idx="0" formatCode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12.1</c:v>
                </c:pt>
                <c:pt idx="4">
                  <c:v>16.100000000000001</c:v>
                </c:pt>
                <c:pt idx="5">
                  <c:v>20.100000000000001</c:v>
                </c:pt>
                <c:pt idx="6">
                  <c:v>24.3</c:v>
                </c:pt>
                <c:pt idx="7">
                  <c:v>27.52</c:v>
                </c:pt>
                <c:pt idx="8">
                  <c:v>31.619999999999997</c:v>
                </c:pt>
                <c:pt idx="9">
                  <c:v>35.619999999999997</c:v>
                </c:pt>
                <c:pt idx="10">
                  <c:v>39.619999999999997</c:v>
                </c:pt>
                <c:pt idx="11">
                  <c:v>43.62</c:v>
                </c:pt>
                <c:pt idx="12">
                  <c:v>47.62</c:v>
                </c:pt>
              </c:numCache>
            </c:numRef>
          </c:val>
        </c:ser>
        <c:marker val="1"/>
        <c:axId val="65272064"/>
        <c:axId val="169772928"/>
      </c:lineChart>
      <c:catAx>
        <c:axId val="65272064"/>
        <c:scaling>
          <c:orientation val="minMax"/>
        </c:scaling>
        <c:axPos val="b"/>
        <c:majorGridlines/>
        <c:minorGridlines/>
        <c:title>
          <c:tx>
            <c:strRef>
              <c:f>Data!$K$43</c:f>
              <c:strCache>
                <c:ptCount val="1"/>
                <c:pt idx="0">
                  <c:v>Omdrejninger</c:v>
                </c:pt>
              </c:strCache>
            </c:strRef>
          </c:tx>
          <c:layout>
            <c:manualLayout>
              <c:xMode val="edge"/>
              <c:yMode val="edge"/>
              <c:x val="0.84719814603327626"/>
              <c:y val="0.90381792275965456"/>
            </c:manualLayout>
          </c:layout>
          <c:txPr>
            <a:bodyPr/>
            <a:lstStyle/>
            <a:p>
              <a:pPr>
                <a:defRPr sz="1200">
                  <a:solidFill>
                    <a:srgbClr val="0070C0"/>
                  </a:solidFill>
                </a:defRPr>
              </a:pPr>
              <a:endParaRPr lang="da-DK"/>
            </a:p>
          </c:tx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69772928"/>
        <c:crosses val="autoZero"/>
        <c:auto val="1"/>
        <c:lblAlgn val="ctr"/>
        <c:lblOffset val="100"/>
        <c:tickLblSkip val="1"/>
        <c:tickMarkSkip val="1"/>
      </c:catAx>
      <c:valAx>
        <c:axId val="169772928"/>
        <c:scaling>
          <c:orientation val="minMax"/>
        </c:scaling>
        <c:axPos val="l"/>
        <c:majorGridlines/>
        <c:minorGridlines/>
        <c:title>
          <c:tx>
            <c:strRef>
              <c:f>Data!$K$47</c:f>
              <c:strCache>
                <c:ptCount val="1"/>
                <c:pt idx="0">
                  <c:v>Målt Vægt i kg med SG 40</c:v>
                </c:pt>
              </c:strCache>
            </c:strRef>
          </c:tx>
          <c:layout>
            <c:manualLayout>
              <c:xMode val="edge"/>
              <c:yMode val="edge"/>
              <c:x val="1.205400067565812E-2"/>
              <c:y val="0.28693603299587672"/>
            </c:manualLayout>
          </c:layout>
          <c:txPr>
            <a:bodyPr/>
            <a:lstStyle/>
            <a:p>
              <a:pPr>
                <a:defRPr sz="1200">
                  <a:solidFill>
                    <a:srgbClr val="00B05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B05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5272064"/>
        <c:crosses val="autoZero"/>
        <c:crossBetween val="midCat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64140169502231"/>
          <c:y val="0.38370487163173489"/>
          <c:w val="0.18235859830498288"/>
          <c:h val="0.28898587616239302"/>
        </c:manualLayout>
      </c:layout>
      <c:txPr>
        <a:bodyPr/>
        <a:lstStyle/>
        <a:p>
          <a:pPr>
            <a:defRPr sz="1200">
              <a:solidFill>
                <a:sysClr val="windowText" lastClr="000000"/>
              </a:solidFill>
            </a:defRPr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4.gif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3.gif"/><Relationship Id="rId6" Type="http://schemas.openxmlformats.org/officeDocument/2006/relationships/chart" Target="../charts/chart2.xml"/><Relationship Id="rId5" Type="http://schemas.openxmlformats.org/officeDocument/2006/relationships/image" Target="../media/image6.png"/><Relationship Id="rId4" Type="http://schemas.openxmlformats.org/officeDocument/2006/relationships/image" Target="../media/image5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3</xdr:row>
      <xdr:rowOff>28575</xdr:rowOff>
    </xdr:from>
    <xdr:to>
      <xdr:col>2</xdr:col>
      <xdr:colOff>561976</xdr:colOff>
      <xdr:row>4</xdr:row>
      <xdr:rowOff>217071</xdr:rowOff>
    </xdr:to>
    <xdr:pic>
      <xdr:nvPicPr>
        <xdr:cNvPr id="1025" name="Picture 1" descr="Form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714375"/>
          <a:ext cx="1657350" cy="436146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790575</xdr:colOff>
      <xdr:row>1</xdr:row>
      <xdr:rowOff>28575</xdr:rowOff>
    </xdr:from>
    <xdr:to>
      <xdr:col>16</xdr:col>
      <xdr:colOff>476250</xdr:colOff>
      <xdr:row>16</xdr:row>
      <xdr:rowOff>133350</xdr:rowOff>
    </xdr:to>
    <xdr:pic>
      <xdr:nvPicPr>
        <xdr:cNvPr id="1027" name="Picture 3" descr="Fjederkonstan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00925" y="257175"/>
          <a:ext cx="3810000" cy="35718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514352</xdr:colOff>
      <xdr:row>1</xdr:row>
      <xdr:rowOff>28575</xdr:rowOff>
    </xdr:from>
    <xdr:to>
      <xdr:col>24</xdr:col>
      <xdr:colOff>257176</xdr:colOff>
      <xdr:row>16</xdr:row>
      <xdr:rowOff>64433</xdr:rowOff>
    </xdr:to>
    <xdr:pic>
      <xdr:nvPicPr>
        <xdr:cNvPr id="1028" name="Picture 4" descr="Trykfjed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249027" y="257175"/>
          <a:ext cx="4962524" cy="350295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0</xdr:rowOff>
    </xdr:from>
    <xdr:to>
      <xdr:col>14</xdr:col>
      <xdr:colOff>9524</xdr:colOff>
      <xdr:row>16</xdr:row>
      <xdr:rowOff>76201</xdr:rowOff>
    </xdr:to>
    <xdr:pic>
      <xdr:nvPicPr>
        <xdr:cNvPr id="2" name="Picture 4" descr="Trykfjed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81600" y="0"/>
          <a:ext cx="4962524" cy="3124201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28574</xdr:colOff>
      <xdr:row>22</xdr:row>
      <xdr:rowOff>47626</xdr:rowOff>
    </xdr:from>
    <xdr:to>
      <xdr:col>23</xdr:col>
      <xdr:colOff>57149</xdr:colOff>
      <xdr:row>38</xdr:row>
      <xdr:rowOff>142876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409575</xdr:colOff>
      <xdr:row>0</xdr:row>
      <xdr:rowOff>9525</xdr:rowOff>
    </xdr:from>
    <xdr:to>
      <xdr:col>19</xdr:col>
      <xdr:colOff>180975</xdr:colOff>
      <xdr:row>11</xdr:row>
      <xdr:rowOff>57150</xdr:rowOff>
    </xdr:to>
    <xdr:pic>
      <xdr:nvPicPr>
        <xdr:cNvPr id="6" name="Billede 5" descr="D:\My Pictures\Mad\Rygeost\dorn_01.gif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144125" y="9525"/>
          <a:ext cx="2857500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171450</xdr:colOff>
      <xdr:row>0</xdr:row>
      <xdr:rowOff>9525</xdr:rowOff>
    </xdr:from>
    <xdr:to>
      <xdr:col>23</xdr:col>
      <xdr:colOff>590550</xdr:colOff>
      <xdr:row>11</xdr:row>
      <xdr:rowOff>57150</xdr:rowOff>
    </xdr:to>
    <xdr:pic>
      <xdr:nvPicPr>
        <xdr:cNvPr id="7" name="Billede 6" descr="D:\My Pictures\Mad\Rygeost\dorn_02.gif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992100" y="9525"/>
          <a:ext cx="2857500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</xdr:row>
      <xdr:rowOff>171450</xdr:rowOff>
    </xdr:from>
    <xdr:to>
      <xdr:col>6</xdr:col>
      <xdr:colOff>809625</xdr:colOff>
      <xdr:row>72</xdr:row>
      <xdr:rowOff>9525</xdr:rowOff>
    </xdr:to>
    <xdr:pic>
      <xdr:nvPicPr>
        <xdr:cNvPr id="9" name="Picture 1" descr="http://www.fagteori.dk/media/9836/gevind-profil-iso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10696575"/>
          <a:ext cx="5238750" cy="32670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53</xdr:row>
      <xdr:rowOff>57150</xdr:rowOff>
    </xdr:from>
    <xdr:to>
      <xdr:col>22</xdr:col>
      <xdr:colOff>190500</xdr:colOff>
      <xdr:row>70</xdr:row>
      <xdr:rowOff>171450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19050</xdr:colOff>
      <xdr:row>72</xdr:row>
      <xdr:rowOff>104775</xdr:rowOff>
    </xdr:from>
    <xdr:to>
      <xdr:col>22</xdr:col>
      <xdr:colOff>209550</xdr:colOff>
      <xdr:row>90</xdr:row>
      <xdr:rowOff>9525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93</xdr:row>
      <xdr:rowOff>19050</xdr:rowOff>
    </xdr:from>
    <xdr:to>
      <xdr:col>22</xdr:col>
      <xdr:colOff>190500</xdr:colOff>
      <xdr:row>110</xdr:row>
      <xdr:rowOff>114300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38100</xdr:rowOff>
    </xdr:from>
    <xdr:to>
      <xdr:col>25</xdr:col>
      <xdr:colOff>9524</xdr:colOff>
      <xdr:row>37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39</xdr:row>
      <xdr:rowOff>114300</xdr:rowOff>
    </xdr:from>
    <xdr:to>
      <xdr:col>25</xdr:col>
      <xdr:colOff>9525</xdr:colOff>
      <xdr:row>77</xdr:row>
      <xdr:rowOff>171450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jedre.dk/online-shop/trykfjedr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5"/>
  <sheetViews>
    <sheetView workbookViewId="0">
      <selection sqref="A1:J1"/>
    </sheetView>
  </sheetViews>
  <sheetFormatPr defaultRowHeight="15"/>
  <cols>
    <col min="1" max="5" width="9.140625" style="52"/>
    <col min="6" max="6" width="18.42578125" style="52" customWidth="1"/>
    <col min="7" max="7" width="9.140625" style="52" customWidth="1"/>
    <col min="8" max="8" width="9.140625" style="52"/>
    <col min="9" max="10" width="11.7109375" style="52" customWidth="1"/>
    <col min="11" max="11" width="15.42578125" style="52" customWidth="1"/>
    <col min="12" max="17" width="9.28515625" style="52" bestFit="1" customWidth="1"/>
    <col min="18" max="18" width="10.140625" style="52" customWidth="1"/>
    <col min="19" max="19" width="9.5703125" style="52" bestFit="1" customWidth="1"/>
    <col min="20" max="20" width="11.5703125" style="52" bestFit="1" customWidth="1"/>
    <col min="21" max="21" width="10.28515625" style="52" bestFit="1" customWidth="1"/>
    <col min="22" max="16384" width="9.140625" style="52"/>
  </cols>
  <sheetData>
    <row r="1" spans="1:20" ht="18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51"/>
      <c r="L1" s="101" t="s">
        <v>63</v>
      </c>
      <c r="M1" s="51"/>
      <c r="N1" s="51"/>
      <c r="O1" s="51"/>
      <c r="P1" s="51"/>
      <c r="Q1" s="172" t="s">
        <v>124</v>
      </c>
      <c r="R1" s="172"/>
      <c r="S1" s="172"/>
      <c r="T1" s="99" t="s">
        <v>125</v>
      </c>
    </row>
    <row r="2" spans="1:20" ht="18" customHeight="1">
      <c r="A2" s="53" t="s">
        <v>1</v>
      </c>
    </row>
    <row r="3" spans="1:20" ht="18" customHeight="1">
      <c r="A3" s="54" t="s">
        <v>2</v>
      </c>
    </row>
    <row r="4" spans="1:20" ht="20.100000000000001" customHeight="1">
      <c r="A4" s="55"/>
      <c r="F4" s="175" t="s">
        <v>8</v>
      </c>
      <c r="G4" s="176">
        <f>+Q22</f>
        <v>39.700000000000003</v>
      </c>
      <c r="H4" s="177"/>
      <c r="I4" s="175" t="s">
        <v>9</v>
      </c>
      <c r="J4" s="175"/>
    </row>
    <row r="5" spans="1:20" ht="20.100000000000001" customHeight="1">
      <c r="F5" s="175"/>
      <c r="G5" s="177"/>
      <c r="H5" s="177"/>
      <c r="I5" s="175"/>
      <c r="J5" s="175"/>
    </row>
    <row r="6" spans="1:20" ht="18" customHeight="1">
      <c r="A6" s="54" t="s">
        <v>109</v>
      </c>
      <c r="I6" s="180" t="s">
        <v>108</v>
      </c>
      <c r="J6" s="181"/>
    </row>
    <row r="7" spans="1:20" ht="18" customHeight="1">
      <c r="A7" s="54" t="s">
        <v>110</v>
      </c>
      <c r="F7" s="100">
        <f>ROUND(((G4*8)*(F9^3*F10)/(F8^4)),2)</f>
        <v>100800.78</v>
      </c>
      <c r="G7" s="56" t="s">
        <v>101</v>
      </c>
      <c r="I7" s="178" t="s">
        <v>102</v>
      </c>
      <c r="J7" s="179"/>
    </row>
    <row r="8" spans="1:20" ht="18" customHeight="1">
      <c r="A8" s="54" t="s">
        <v>111</v>
      </c>
      <c r="F8" s="57">
        <f>+J22</f>
        <v>4</v>
      </c>
      <c r="G8" s="56" t="s">
        <v>10</v>
      </c>
      <c r="I8" s="58" t="s">
        <v>12</v>
      </c>
      <c r="J8" s="59" t="s">
        <v>13</v>
      </c>
    </row>
    <row r="9" spans="1:20" ht="18" customHeight="1">
      <c r="A9" s="54" t="s">
        <v>112</v>
      </c>
      <c r="F9" s="57">
        <f>(I9+J9)/2</f>
        <v>25</v>
      </c>
      <c r="G9" s="56" t="s">
        <v>10</v>
      </c>
      <c r="I9" s="60">
        <f>+K22</f>
        <v>29</v>
      </c>
      <c r="J9" s="61">
        <f>+L22</f>
        <v>21</v>
      </c>
    </row>
    <row r="10" spans="1:20" ht="18" customHeight="1">
      <c r="A10" s="54" t="s">
        <v>3</v>
      </c>
      <c r="F10" s="57">
        <f>+U22</f>
        <v>5.2</v>
      </c>
      <c r="G10" s="56" t="s">
        <v>11</v>
      </c>
    </row>
    <row r="11" spans="1:20" ht="18" customHeight="1">
      <c r="A11" s="54" t="s">
        <v>4</v>
      </c>
    </row>
    <row r="12" spans="1:20" ht="18" customHeight="1">
      <c r="A12" s="54" t="s">
        <v>5</v>
      </c>
    </row>
    <row r="13" spans="1:20" ht="18" customHeight="1">
      <c r="A13" s="54" t="s">
        <v>6</v>
      </c>
    </row>
    <row r="14" spans="1:20" ht="18" customHeight="1">
      <c r="A14" s="54" t="s">
        <v>7</v>
      </c>
    </row>
    <row r="15" spans="1:20" ht="18" customHeight="1">
      <c r="I15" s="183" t="s">
        <v>59</v>
      </c>
      <c r="J15" s="183"/>
      <c r="K15" s="183"/>
    </row>
    <row r="16" spans="1:20" ht="18" customHeight="1">
      <c r="A16" s="62" t="s">
        <v>14</v>
      </c>
      <c r="C16" s="63"/>
      <c r="G16" s="64"/>
      <c r="H16" s="64"/>
      <c r="I16" s="65" t="s">
        <v>56</v>
      </c>
      <c r="J16" s="65">
        <v>0.10197000000000001</v>
      </c>
      <c r="K16" s="65" t="s">
        <v>58</v>
      </c>
      <c r="L16" s="64"/>
      <c r="M16" s="64"/>
      <c r="N16" s="64"/>
      <c r="O16" s="64"/>
    </row>
    <row r="17" spans="1:21" ht="18" customHeight="1">
      <c r="A17" s="53" t="s">
        <v>15</v>
      </c>
      <c r="H17" s="66"/>
      <c r="I17" s="67" t="s">
        <v>57</v>
      </c>
      <c r="J17" s="68">
        <v>9.8066499999999994</v>
      </c>
      <c r="K17" s="67" t="s">
        <v>28</v>
      </c>
      <c r="L17" s="66"/>
      <c r="M17" s="66"/>
      <c r="N17" s="66"/>
      <c r="O17" s="63"/>
    </row>
    <row r="18" spans="1:21" ht="18" customHeight="1">
      <c r="A18" s="53" t="s">
        <v>103</v>
      </c>
      <c r="G18" s="184" t="s">
        <v>133</v>
      </c>
      <c r="H18" s="184"/>
      <c r="I18" s="174" t="s">
        <v>75</v>
      </c>
      <c r="J18" s="174"/>
      <c r="K18" s="174"/>
      <c r="L18" s="173" t="s">
        <v>144</v>
      </c>
      <c r="M18" s="173"/>
      <c r="N18" s="173"/>
      <c r="O18" s="173"/>
      <c r="P18" s="173"/>
      <c r="Q18" s="173"/>
      <c r="R18" s="173"/>
      <c r="S18" s="173"/>
      <c r="T18" s="173"/>
      <c r="U18" s="83" t="s">
        <v>113</v>
      </c>
    </row>
    <row r="19" spans="1:21" ht="15" customHeight="1">
      <c r="A19" s="53" t="s">
        <v>104</v>
      </c>
      <c r="G19" s="185" t="s">
        <v>145</v>
      </c>
      <c r="H19" s="185"/>
      <c r="I19" s="186" t="s">
        <v>34</v>
      </c>
      <c r="J19" s="74" t="s">
        <v>30</v>
      </c>
      <c r="K19" s="74" t="s">
        <v>31</v>
      </c>
      <c r="L19" s="74" t="s">
        <v>32</v>
      </c>
      <c r="M19" s="74" t="s">
        <v>38</v>
      </c>
      <c r="N19" s="74" t="s">
        <v>40</v>
      </c>
      <c r="O19" s="74" t="s">
        <v>27</v>
      </c>
      <c r="P19" s="74" t="s">
        <v>43</v>
      </c>
      <c r="Q19" s="74" t="s">
        <v>29</v>
      </c>
      <c r="R19" s="77" t="s">
        <v>114</v>
      </c>
      <c r="S19" s="80" t="s">
        <v>46</v>
      </c>
      <c r="T19" s="80" t="s">
        <v>33</v>
      </c>
      <c r="U19" s="168" t="s">
        <v>137</v>
      </c>
    </row>
    <row r="20" spans="1:21" ht="31.5" customHeight="1">
      <c r="A20" s="53" t="s">
        <v>106</v>
      </c>
      <c r="F20" s="66"/>
      <c r="G20" s="185"/>
      <c r="H20" s="185"/>
      <c r="I20" s="187"/>
      <c r="J20" s="75" t="s">
        <v>35</v>
      </c>
      <c r="K20" s="75" t="s">
        <v>36</v>
      </c>
      <c r="L20" s="75" t="s">
        <v>37</v>
      </c>
      <c r="M20" s="75" t="s">
        <v>39</v>
      </c>
      <c r="N20" s="75" t="s">
        <v>41</v>
      </c>
      <c r="O20" s="75" t="s">
        <v>42</v>
      </c>
      <c r="P20" s="75" t="s">
        <v>44</v>
      </c>
      <c r="Q20" s="75" t="s">
        <v>45</v>
      </c>
      <c r="R20" s="78" t="s">
        <v>50</v>
      </c>
      <c r="S20" s="81" t="s">
        <v>47</v>
      </c>
      <c r="T20" s="84" t="s">
        <v>49</v>
      </c>
      <c r="U20" s="169"/>
    </row>
    <row r="21" spans="1:21">
      <c r="A21" s="53" t="s">
        <v>16</v>
      </c>
      <c r="F21" s="66"/>
      <c r="G21" s="185"/>
      <c r="H21" s="185"/>
      <c r="I21" s="188"/>
      <c r="J21" s="76" t="s">
        <v>10</v>
      </c>
      <c r="K21" s="76" t="s">
        <v>10</v>
      </c>
      <c r="L21" s="76" t="s">
        <v>10</v>
      </c>
      <c r="M21" s="76" t="s">
        <v>10</v>
      </c>
      <c r="N21" s="76" t="s">
        <v>10</v>
      </c>
      <c r="O21" s="76" t="s">
        <v>10</v>
      </c>
      <c r="P21" s="76" t="s">
        <v>28</v>
      </c>
      <c r="Q21" s="76" t="s">
        <v>9</v>
      </c>
      <c r="R21" s="79" t="s">
        <v>58</v>
      </c>
      <c r="S21" s="82"/>
      <c r="T21" s="82"/>
      <c r="U21" s="170"/>
    </row>
    <row r="22" spans="1:21">
      <c r="A22" s="53" t="s">
        <v>107</v>
      </c>
      <c r="G22" s="171">
        <v>10</v>
      </c>
      <c r="H22" s="171"/>
      <c r="I22" s="127" t="s">
        <v>48</v>
      </c>
      <c r="J22" s="126">
        <v>4</v>
      </c>
      <c r="K22" s="126">
        <v>29</v>
      </c>
      <c r="L22" s="126">
        <v>21</v>
      </c>
      <c r="M22" s="126">
        <v>41</v>
      </c>
      <c r="N22" s="126">
        <v>22.9</v>
      </c>
      <c r="O22" s="126">
        <v>18.100000000000001</v>
      </c>
      <c r="P22" s="126">
        <v>709.88</v>
      </c>
      <c r="Q22" s="126">
        <v>39.700000000000003</v>
      </c>
      <c r="R22" s="123">
        <f>P22/J17</f>
        <v>72.387614526877172</v>
      </c>
      <c r="S22" s="125">
        <v>23580</v>
      </c>
      <c r="T22" s="124">
        <v>197.05</v>
      </c>
      <c r="U22" s="134">
        <f>ROUND(N22/(J22+(J22*0.1)),1)</f>
        <v>5.2</v>
      </c>
    </row>
    <row r="23" spans="1:21">
      <c r="A23" s="53" t="s">
        <v>17</v>
      </c>
    </row>
    <row r="24" spans="1:21">
      <c r="A24" s="53" t="s">
        <v>18</v>
      </c>
      <c r="I24" s="182" t="s">
        <v>51</v>
      </c>
      <c r="J24" s="182"/>
      <c r="O24" s="95" t="s">
        <v>117</v>
      </c>
    </row>
    <row r="25" spans="1:21">
      <c r="A25" s="53" t="s">
        <v>19</v>
      </c>
      <c r="I25" s="69" t="s">
        <v>52</v>
      </c>
      <c r="U25" s="114"/>
    </row>
    <row r="26" spans="1:21">
      <c r="A26" s="53" t="s">
        <v>20</v>
      </c>
      <c r="I26" s="69" t="s">
        <v>53</v>
      </c>
      <c r="U26" s="115"/>
    </row>
    <row r="27" spans="1:21">
      <c r="A27" s="53" t="s">
        <v>21</v>
      </c>
      <c r="I27" s="69" t="s">
        <v>55</v>
      </c>
      <c r="R27" s="64">
        <v>48</v>
      </c>
      <c r="S27" s="64" t="s">
        <v>28</v>
      </c>
    </row>
    <row r="28" spans="1:21">
      <c r="A28" s="53" t="s">
        <v>22</v>
      </c>
      <c r="I28" s="69" t="s">
        <v>54</v>
      </c>
      <c r="R28" s="70">
        <f>R27/J17</f>
        <v>4.8946378222940554</v>
      </c>
      <c r="S28" s="64" t="s">
        <v>58</v>
      </c>
    </row>
    <row r="29" spans="1:21">
      <c r="A29" s="53" t="s">
        <v>23</v>
      </c>
      <c r="I29" s="182" t="s">
        <v>60</v>
      </c>
      <c r="J29" s="182"/>
      <c r="K29" s="182"/>
      <c r="L29" s="182"/>
      <c r="R29" s="64" t="s">
        <v>28</v>
      </c>
      <c r="S29" s="64" t="s">
        <v>58</v>
      </c>
    </row>
    <row r="30" spans="1:21">
      <c r="A30" s="53" t="s">
        <v>105</v>
      </c>
      <c r="I30" s="71" t="s">
        <v>85</v>
      </c>
      <c r="K30" s="64" t="s">
        <v>61</v>
      </c>
      <c r="L30" s="72">
        <f>+O22</f>
        <v>18.100000000000001</v>
      </c>
      <c r="M30" s="64" t="s">
        <v>10</v>
      </c>
      <c r="N30" s="64" t="s">
        <v>62</v>
      </c>
      <c r="O30" s="72">
        <f>+Q22</f>
        <v>39.700000000000003</v>
      </c>
      <c r="P30" s="64" t="s">
        <v>9</v>
      </c>
      <c r="R30" s="73">
        <f>L30*O30</f>
        <v>718.57000000000016</v>
      </c>
      <c r="S30" s="73">
        <f>R30/J17</f>
        <v>73.273747915955013</v>
      </c>
    </row>
    <row r="31" spans="1:21">
      <c r="A31" s="53" t="s">
        <v>24</v>
      </c>
    </row>
    <row r="32" spans="1:21">
      <c r="A32" s="53" t="s">
        <v>25</v>
      </c>
      <c r="I32" s="52" t="s">
        <v>81</v>
      </c>
      <c r="J32" s="64" t="s">
        <v>28</v>
      </c>
    </row>
    <row r="33" spans="1:10">
      <c r="A33" s="53" t="s">
        <v>26</v>
      </c>
      <c r="I33" s="52" t="s">
        <v>82</v>
      </c>
      <c r="J33" s="64" t="s">
        <v>10</v>
      </c>
    </row>
    <row r="34" spans="1:10">
      <c r="A34" s="53"/>
    </row>
    <row r="35" spans="1:10">
      <c r="A35" s="53"/>
    </row>
    <row r="37" spans="1:10">
      <c r="A37" s="122" t="s">
        <v>143</v>
      </c>
    </row>
    <row r="38" spans="1:10">
      <c r="A38" s="120">
        <v>2</v>
      </c>
    </row>
    <row r="39" spans="1:10">
      <c r="A39" s="120">
        <v>3</v>
      </c>
    </row>
    <row r="40" spans="1:10">
      <c r="A40" s="120">
        <v>4</v>
      </c>
    </row>
    <row r="41" spans="1:10">
      <c r="A41" s="120">
        <v>5</v>
      </c>
    </row>
    <row r="42" spans="1:10">
      <c r="A42" s="120">
        <v>6</v>
      </c>
    </row>
    <row r="43" spans="1:10">
      <c r="A43" s="120">
        <v>7</v>
      </c>
    </row>
    <row r="44" spans="1:10">
      <c r="A44" s="120">
        <v>8</v>
      </c>
    </row>
    <row r="45" spans="1:10">
      <c r="A45" s="120">
        <v>10</v>
      </c>
    </row>
    <row r="46" spans="1:10">
      <c r="A46" s="120">
        <v>12</v>
      </c>
    </row>
    <row r="47" spans="1:10">
      <c r="A47" s="120">
        <v>14</v>
      </c>
    </row>
    <row r="48" spans="1:10">
      <c r="A48" s="120">
        <v>16</v>
      </c>
    </row>
    <row r="49" spans="1:1">
      <c r="A49" s="120">
        <v>18</v>
      </c>
    </row>
    <row r="50" spans="1:1">
      <c r="A50" s="120">
        <v>20</v>
      </c>
    </row>
    <row r="51" spans="1:1">
      <c r="A51" s="120">
        <v>22</v>
      </c>
    </row>
    <row r="52" spans="1:1">
      <c r="A52" s="120">
        <v>24</v>
      </c>
    </row>
    <row r="53" spans="1:1">
      <c r="A53" s="120">
        <v>27</v>
      </c>
    </row>
    <row r="54" spans="1:1">
      <c r="A54" s="120">
        <v>30</v>
      </c>
    </row>
    <row r="55" spans="1:1">
      <c r="A55" s="121"/>
    </row>
  </sheetData>
  <mergeCells count="17">
    <mergeCell ref="I24:J24"/>
    <mergeCell ref="I15:K15"/>
    <mergeCell ref="G18:H18"/>
    <mergeCell ref="G19:H21"/>
    <mergeCell ref="I29:L29"/>
    <mergeCell ref="I19:I21"/>
    <mergeCell ref="U19:U21"/>
    <mergeCell ref="G22:H22"/>
    <mergeCell ref="A1:J1"/>
    <mergeCell ref="L18:T18"/>
    <mergeCell ref="I18:K18"/>
    <mergeCell ref="Q1:S1"/>
    <mergeCell ref="F4:F5"/>
    <mergeCell ref="G4:H5"/>
    <mergeCell ref="I4:J5"/>
    <mergeCell ref="I7:J7"/>
    <mergeCell ref="I6:J6"/>
  </mergeCells>
  <dataValidations count="1">
    <dataValidation type="list" allowBlank="1" showInputMessage="1" showErrorMessage="1" errorTitle="Diameter" error="Fejl i diameter" promptTitle="Diameter" prompt="Indsæt diameter" sqref="G22">
      <formula1>$A$38:$A$54</formula1>
    </dataValidation>
  </dataValidations>
  <hyperlinks>
    <hyperlink ref="L1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92"/>
  <sheetViews>
    <sheetView tabSelected="1" zoomScale="85" zoomScaleNormal="85" workbookViewId="0">
      <selection activeCell="Z32" sqref="Z32"/>
    </sheetView>
  </sheetViews>
  <sheetFormatPr defaultRowHeight="15"/>
  <cols>
    <col min="1" max="1" width="14" bestFit="1" customWidth="1"/>
    <col min="2" max="2" width="10.5703125" bestFit="1" customWidth="1"/>
    <col min="3" max="3" width="10.85546875" bestFit="1" customWidth="1"/>
    <col min="4" max="4" width="9.5703125" bestFit="1" customWidth="1"/>
    <col min="5" max="5" width="10.5703125" bestFit="1" customWidth="1"/>
    <col min="6" max="6" width="11.42578125" bestFit="1" customWidth="1"/>
    <col min="7" max="7" width="12.5703125" bestFit="1" customWidth="1"/>
    <col min="8" max="8" width="11.5703125" bestFit="1" customWidth="1"/>
    <col min="9" max="10" width="9.7109375" customWidth="1"/>
    <col min="11" max="12" width="12.7109375" customWidth="1"/>
    <col min="13" max="15" width="9.7109375" customWidth="1"/>
  </cols>
  <sheetData>
    <row r="1" spans="1:22">
      <c r="A1" s="50" t="s">
        <v>115</v>
      </c>
      <c r="B1" s="198" t="s">
        <v>65</v>
      </c>
      <c r="C1" s="198"/>
      <c r="D1" s="198"/>
      <c r="E1" s="198"/>
      <c r="F1" s="198"/>
      <c r="G1" s="199"/>
    </row>
    <row r="2" spans="1:22">
      <c r="A2" s="85">
        <f>+Fjeder!S22</f>
        <v>23580</v>
      </c>
      <c r="B2" s="7" t="s">
        <v>62</v>
      </c>
      <c r="C2" s="9">
        <f>+Fjeder!Q22</f>
        <v>39.700000000000003</v>
      </c>
      <c r="D2" s="7" t="s">
        <v>9</v>
      </c>
      <c r="E2" s="8">
        <f>C2/H23</f>
        <v>4.0482733655223759</v>
      </c>
      <c r="F2" s="7" t="s">
        <v>69</v>
      </c>
      <c r="G2" s="35"/>
    </row>
    <row r="3" spans="1:22">
      <c r="A3" s="50" t="s">
        <v>116</v>
      </c>
      <c r="B3" s="45">
        <v>0</v>
      </c>
      <c r="C3" s="14">
        <f>C4*$H$23</f>
        <v>98.066499999999991</v>
      </c>
      <c r="D3" s="14">
        <f>D4*$H$23</f>
        <v>196.13299999999998</v>
      </c>
      <c r="E3" s="14">
        <f>E4*$H$23</f>
        <v>294.1995</v>
      </c>
      <c r="F3" s="14">
        <f>F4*$H$23</f>
        <v>313.81279999999998</v>
      </c>
      <c r="G3" s="37">
        <f>+Fjeder!P22</f>
        <v>709.88</v>
      </c>
    </row>
    <row r="4" spans="1:22">
      <c r="A4" s="86" t="s">
        <v>64</v>
      </c>
      <c r="B4" s="46">
        <v>0</v>
      </c>
      <c r="C4" s="87">
        <v>10</v>
      </c>
      <c r="D4" s="38">
        <v>20</v>
      </c>
      <c r="E4" s="38">
        <v>30</v>
      </c>
      <c r="F4" s="87">
        <v>32</v>
      </c>
      <c r="G4" s="39">
        <f>+G3/H23</f>
        <v>72.387614526877172</v>
      </c>
    </row>
    <row r="5" spans="1:22">
      <c r="A5" s="43" t="s">
        <v>68</v>
      </c>
      <c r="B5" s="47"/>
      <c r="C5" s="87" t="s">
        <v>66</v>
      </c>
      <c r="D5" s="38"/>
      <c r="E5" s="38"/>
      <c r="F5" s="87" t="s">
        <v>67</v>
      </c>
      <c r="G5" s="39" t="s">
        <v>76</v>
      </c>
    </row>
    <row r="6" spans="1:22">
      <c r="A6" s="44" t="s">
        <v>97</v>
      </c>
      <c r="B6" s="48">
        <v>0</v>
      </c>
      <c r="C6" s="88">
        <f>+B18</f>
        <v>2.4700000000000002</v>
      </c>
      <c r="D6" s="9">
        <f>+B20</f>
        <v>4.9400000000000004</v>
      </c>
      <c r="E6" s="9">
        <f>+B22</f>
        <v>7.41</v>
      </c>
      <c r="F6" s="88">
        <f>+B24</f>
        <v>7.9</v>
      </c>
      <c r="G6" s="40">
        <f>+Fjeder!O22</f>
        <v>18.100000000000001</v>
      </c>
    </row>
    <row r="7" spans="1:22">
      <c r="A7" s="10"/>
      <c r="B7" s="10"/>
      <c r="C7" s="11"/>
      <c r="D7" s="11"/>
      <c r="E7" s="11"/>
      <c r="F7" s="11"/>
      <c r="G7" s="6"/>
    </row>
    <row r="8" spans="1:22">
      <c r="A8" s="204" t="s">
        <v>74</v>
      </c>
      <c r="B8" s="198"/>
      <c r="C8" s="198"/>
      <c r="D8" s="198"/>
      <c r="E8" s="198"/>
      <c r="F8" s="199"/>
    </row>
    <row r="9" spans="1:22">
      <c r="A9" s="201" t="s">
        <v>10</v>
      </c>
      <c r="B9" s="202"/>
      <c r="C9" s="202"/>
      <c r="D9" s="202"/>
      <c r="E9" s="202"/>
      <c r="F9" s="203"/>
    </row>
    <row r="10" spans="1:22">
      <c r="A10" s="21" t="s">
        <v>77</v>
      </c>
      <c r="B10" s="22" t="s">
        <v>38</v>
      </c>
      <c r="C10" s="22" t="s">
        <v>78</v>
      </c>
      <c r="D10" s="22" t="s">
        <v>79</v>
      </c>
      <c r="E10" s="23"/>
      <c r="F10" s="24" t="s">
        <v>80</v>
      </c>
    </row>
    <row r="11" spans="1:22">
      <c r="A11" s="21">
        <v>30</v>
      </c>
      <c r="B11" s="25"/>
      <c r="C11" s="22">
        <v>50</v>
      </c>
      <c r="D11" s="22">
        <v>20</v>
      </c>
      <c r="E11" s="23"/>
      <c r="F11" s="24">
        <v>46</v>
      </c>
    </row>
    <row r="12" spans="1:22">
      <c r="A12" s="89" t="str">
        <f>CONCATENATE(A1,A2)</f>
        <v>Fjeder 23580</v>
      </c>
      <c r="B12" s="90">
        <f>+Fjeder!M22</f>
        <v>41</v>
      </c>
      <c r="C12" s="91"/>
      <c r="D12" s="90">
        <f>+Fjeder!L22</f>
        <v>21</v>
      </c>
      <c r="E12" s="91"/>
      <c r="F12" s="92">
        <f>+Fjeder!K22</f>
        <v>29</v>
      </c>
    </row>
    <row r="13" spans="1:22">
      <c r="P13" s="200" t="s">
        <v>136</v>
      </c>
      <c r="Q13" s="200"/>
      <c r="R13" s="200"/>
      <c r="S13" s="200"/>
      <c r="T13" s="200"/>
      <c r="U13" s="200"/>
      <c r="V13" s="200"/>
    </row>
    <row r="14" spans="1:22">
      <c r="A14" t="s">
        <v>81</v>
      </c>
      <c r="B14" s="12" t="s">
        <v>28</v>
      </c>
      <c r="P14" s="200" t="s">
        <v>71</v>
      </c>
      <c r="Q14" s="200"/>
      <c r="R14" s="200"/>
      <c r="S14" s="200"/>
      <c r="T14" s="200"/>
      <c r="U14" s="200"/>
      <c r="V14" s="200"/>
    </row>
    <row r="15" spans="1:22">
      <c r="A15" t="s">
        <v>82</v>
      </c>
      <c r="B15" s="12" t="s">
        <v>10</v>
      </c>
      <c r="F15" s="13"/>
      <c r="P15" s="200" t="s">
        <v>86</v>
      </c>
      <c r="Q15" s="200"/>
      <c r="R15" s="200"/>
      <c r="S15" s="200"/>
      <c r="T15" s="200"/>
      <c r="U15" s="200"/>
      <c r="V15" s="200"/>
    </row>
    <row r="16" spans="1:22">
      <c r="P16" s="200" t="s">
        <v>98</v>
      </c>
      <c r="Q16" s="200"/>
      <c r="R16" s="200"/>
      <c r="S16" s="200"/>
      <c r="T16" s="200"/>
      <c r="U16" s="200"/>
      <c r="V16" s="200"/>
    </row>
    <row r="17" spans="1:22" ht="18.75">
      <c r="A17" s="205" t="s">
        <v>85</v>
      </c>
      <c r="B17" s="205"/>
      <c r="C17" s="34" t="str">
        <f>CONCATENATE(B24,C24,"ved ",B25,C25," / ",D25," kg ")</f>
        <v xml:space="preserve">7,9 mm ved 313,81 N / 32 kg </v>
      </c>
      <c r="D17" s="34"/>
      <c r="E17" s="34"/>
    </row>
    <row r="18" spans="1:22">
      <c r="A18" s="18" t="s">
        <v>87</v>
      </c>
      <c r="B18" s="27">
        <f>ROUND((B19/$C$2),2)</f>
        <v>2.4700000000000002</v>
      </c>
      <c r="C18" s="19" t="s">
        <v>10</v>
      </c>
      <c r="D18" s="19"/>
      <c r="E18" s="20"/>
      <c r="K18" t="s">
        <v>172</v>
      </c>
      <c r="P18" t="s">
        <v>119</v>
      </c>
    </row>
    <row r="19" spans="1:22">
      <c r="A19" s="15" t="s">
        <v>90</v>
      </c>
      <c r="B19" s="8">
        <f>ROUND(C3,2)</f>
        <v>98.07</v>
      </c>
      <c r="C19" s="7" t="s">
        <v>28</v>
      </c>
      <c r="D19" s="16">
        <f>+C4</f>
        <v>10</v>
      </c>
      <c r="E19" s="17" t="s">
        <v>58</v>
      </c>
      <c r="K19" s="190" t="str">
        <f>+A4</f>
        <v>Vægt kg</v>
      </c>
      <c r="L19" s="190"/>
      <c r="M19" s="93">
        <v>0</v>
      </c>
      <c r="N19" s="93">
        <v>5</v>
      </c>
      <c r="O19" s="93">
        <v>10</v>
      </c>
      <c r="P19" s="93">
        <v>15</v>
      </c>
      <c r="Q19" s="93">
        <v>20</v>
      </c>
      <c r="R19" s="93">
        <v>25</v>
      </c>
      <c r="S19" s="93">
        <v>30</v>
      </c>
      <c r="T19" s="93">
        <v>32</v>
      </c>
      <c r="U19" s="93">
        <v>35</v>
      </c>
      <c r="V19" s="93">
        <f>ROUND(V20/H23,2)</f>
        <v>72.39</v>
      </c>
    </row>
    <row r="20" spans="1:22">
      <c r="A20" s="18" t="s">
        <v>88</v>
      </c>
      <c r="B20" s="27">
        <f>ROUND((B21/$C$2),2)</f>
        <v>4.9400000000000004</v>
      </c>
      <c r="C20" s="19" t="s">
        <v>10</v>
      </c>
      <c r="D20" s="19"/>
      <c r="E20" s="20"/>
      <c r="K20" s="190" t="str">
        <f>+A3</f>
        <v>Kraft N</v>
      </c>
      <c r="L20" s="190"/>
      <c r="M20" s="103">
        <f t="shared" ref="M20:U20" si="0">M19*$H$23</f>
        <v>0</v>
      </c>
      <c r="N20" s="103">
        <f t="shared" si="0"/>
        <v>49.033249999999995</v>
      </c>
      <c r="O20" s="103">
        <f t="shared" si="0"/>
        <v>98.066499999999991</v>
      </c>
      <c r="P20" s="103">
        <f t="shared" si="0"/>
        <v>147.09975</v>
      </c>
      <c r="Q20" s="103">
        <f t="shared" si="0"/>
        <v>196.13299999999998</v>
      </c>
      <c r="R20" s="103">
        <f t="shared" si="0"/>
        <v>245.16624999999999</v>
      </c>
      <c r="S20" s="103">
        <f t="shared" si="0"/>
        <v>294.1995</v>
      </c>
      <c r="T20" s="103">
        <f t="shared" si="0"/>
        <v>313.81279999999998</v>
      </c>
      <c r="U20" s="103">
        <f t="shared" si="0"/>
        <v>343.23274999999995</v>
      </c>
      <c r="V20" s="103">
        <f>+Fjeder!P22</f>
        <v>709.88</v>
      </c>
    </row>
    <row r="21" spans="1:22">
      <c r="A21" s="15" t="s">
        <v>91</v>
      </c>
      <c r="B21" s="8">
        <f>ROUND(D3,2)</f>
        <v>196.13</v>
      </c>
      <c r="C21" s="7" t="s">
        <v>28</v>
      </c>
      <c r="D21" s="16">
        <f>+D4</f>
        <v>20</v>
      </c>
      <c r="E21" s="17" t="s">
        <v>58</v>
      </c>
      <c r="G21" s="194" t="s">
        <v>59</v>
      </c>
      <c r="H21" s="194"/>
      <c r="I21" s="194"/>
      <c r="K21" s="190" t="str">
        <f>+A6</f>
        <v>Vandring i mm</v>
      </c>
      <c r="L21" s="190"/>
      <c r="M21" s="94">
        <f>ROUND((M20/$C$2),2)</f>
        <v>0</v>
      </c>
      <c r="N21" s="94">
        <f>ROUND((N20/$C$2),2)</f>
        <v>1.24</v>
      </c>
      <c r="O21" s="94">
        <f t="shared" ref="O21:U21" si="1">ROUND((O20/$C$2),2)</f>
        <v>2.4700000000000002</v>
      </c>
      <c r="P21" s="94">
        <f t="shared" si="1"/>
        <v>3.71</v>
      </c>
      <c r="Q21" s="94">
        <f t="shared" si="1"/>
        <v>4.9400000000000004</v>
      </c>
      <c r="R21" s="94">
        <f t="shared" si="1"/>
        <v>6.18</v>
      </c>
      <c r="S21" s="94">
        <f t="shared" si="1"/>
        <v>7.41</v>
      </c>
      <c r="T21" s="94">
        <f t="shared" si="1"/>
        <v>7.9</v>
      </c>
      <c r="U21" s="94">
        <f t="shared" si="1"/>
        <v>8.65</v>
      </c>
      <c r="V21" s="94">
        <f>+Fjeder!O22</f>
        <v>18.100000000000001</v>
      </c>
    </row>
    <row r="22" spans="1:22">
      <c r="A22" s="18" t="s">
        <v>89</v>
      </c>
      <c r="B22" s="27">
        <f>ROUND((B23/$C$2),2)</f>
        <v>7.41</v>
      </c>
      <c r="C22" s="19" t="s">
        <v>10</v>
      </c>
      <c r="D22" s="19"/>
      <c r="E22" s="20"/>
      <c r="G22" s="1" t="s">
        <v>56</v>
      </c>
      <c r="H22" s="1">
        <v>0.10197000000000001</v>
      </c>
      <c r="I22" s="1" t="s">
        <v>58</v>
      </c>
      <c r="T22" s="194" t="str">
        <f>CONCATENATE(Fjeder!O24,Fjeder!O22)</f>
        <v>Sn max vandring i mm 18,1</v>
      </c>
      <c r="U22" s="194"/>
      <c r="V22" s="194"/>
    </row>
    <row r="23" spans="1:22">
      <c r="A23" s="15" t="s">
        <v>92</v>
      </c>
      <c r="B23" s="8">
        <f>ROUND(E3,2)</f>
        <v>294.2</v>
      </c>
      <c r="C23" s="7" t="s">
        <v>28</v>
      </c>
      <c r="D23" s="16">
        <f>+E4</f>
        <v>30</v>
      </c>
      <c r="E23" s="17" t="s">
        <v>58</v>
      </c>
      <c r="G23" s="3" t="s">
        <v>57</v>
      </c>
      <c r="H23" s="5">
        <v>9.8066499999999994</v>
      </c>
      <c r="I23" s="3" t="s">
        <v>28</v>
      </c>
      <c r="J23" s="167" t="s">
        <v>169</v>
      </c>
    </row>
    <row r="24" spans="1:22">
      <c r="A24" s="18" t="s">
        <v>93</v>
      </c>
      <c r="B24" s="27">
        <f>ROUND((B25/$C$2),2)</f>
        <v>7.9</v>
      </c>
      <c r="C24" s="19" t="s">
        <v>83</v>
      </c>
      <c r="D24" s="19"/>
      <c r="E24" s="20"/>
    </row>
    <row r="25" spans="1:22">
      <c r="A25" s="15" t="s">
        <v>94</v>
      </c>
      <c r="B25" s="8">
        <f>ROUND(F3,2)</f>
        <v>313.81</v>
      </c>
      <c r="C25" s="7" t="s">
        <v>84</v>
      </c>
      <c r="D25" s="16">
        <f>+F4</f>
        <v>32</v>
      </c>
      <c r="E25" s="17" t="s">
        <v>58</v>
      </c>
      <c r="G25" s="12" t="s">
        <v>95</v>
      </c>
      <c r="H25" s="4">
        <f>+B12</f>
        <v>41</v>
      </c>
      <c r="I25" s="12" t="s">
        <v>95</v>
      </c>
      <c r="J25" s="41">
        <f>+B12</f>
        <v>41</v>
      </c>
    </row>
    <row r="26" spans="1:22">
      <c r="G26" s="12" t="s">
        <v>96</v>
      </c>
      <c r="H26" s="4">
        <f>+B24</f>
        <v>7.9</v>
      </c>
      <c r="I26" s="12" t="s">
        <v>99</v>
      </c>
      <c r="J26" s="41">
        <f>+G6</f>
        <v>18.100000000000001</v>
      </c>
    </row>
    <row r="27" spans="1:22">
      <c r="G27" s="12" t="s">
        <v>100</v>
      </c>
      <c r="H27" s="4">
        <f>+H25-H26</f>
        <v>33.1</v>
      </c>
      <c r="I27" s="12" t="s">
        <v>100</v>
      </c>
      <c r="J27" s="41">
        <f>+J25-J26</f>
        <v>22.9</v>
      </c>
    </row>
    <row r="28" spans="1:22">
      <c r="H28" s="2"/>
      <c r="I28" s="42"/>
    </row>
    <row r="29" spans="1:22">
      <c r="G29" s="49" t="s">
        <v>122</v>
      </c>
      <c r="H29" s="96">
        <f>+B30</f>
        <v>18.100000000000001</v>
      </c>
      <c r="I29" s="97" t="s">
        <v>10</v>
      </c>
      <c r="K29" s="13"/>
    </row>
    <row r="30" spans="1:22">
      <c r="A30" s="26" t="s">
        <v>121</v>
      </c>
      <c r="B30" s="27">
        <f>+G6</f>
        <v>18.100000000000001</v>
      </c>
      <c r="C30" s="28" t="s">
        <v>83</v>
      </c>
      <c r="D30" s="28"/>
      <c r="E30" s="29"/>
      <c r="G30" s="49" t="s">
        <v>96</v>
      </c>
      <c r="H30" s="4">
        <f>+H26</f>
        <v>7.9</v>
      </c>
      <c r="I30" s="97" t="s">
        <v>10</v>
      </c>
    </row>
    <row r="31" spans="1:22">
      <c r="A31" s="30" t="s">
        <v>73</v>
      </c>
      <c r="B31" s="36">
        <f>+G3</f>
        <v>709.88</v>
      </c>
      <c r="C31" s="32" t="s">
        <v>84</v>
      </c>
      <c r="D31" s="31">
        <f>+G4</f>
        <v>72.387614526877172</v>
      </c>
      <c r="E31" s="33" t="s">
        <v>58</v>
      </c>
      <c r="G31" s="49" t="s">
        <v>123</v>
      </c>
      <c r="H31" s="4">
        <f>H29-H30</f>
        <v>10.200000000000001</v>
      </c>
      <c r="I31" s="97" t="s">
        <v>10</v>
      </c>
    </row>
    <row r="32" spans="1:22">
      <c r="A32" s="49" t="s">
        <v>120</v>
      </c>
      <c r="B32" s="12" t="s">
        <v>70</v>
      </c>
      <c r="C32" t="s">
        <v>72</v>
      </c>
      <c r="G32" s="49" t="s">
        <v>123</v>
      </c>
      <c r="H32" s="98">
        <f>H31/H29</f>
        <v>0.56353591160220995</v>
      </c>
    </row>
    <row r="34" spans="1:25">
      <c r="A34" s="208" t="s">
        <v>126</v>
      </c>
      <c r="B34" s="208"/>
      <c r="C34" s="208"/>
      <c r="D34" s="208"/>
      <c r="E34" s="13"/>
    </row>
    <row r="35" spans="1:25">
      <c r="A35" s="104"/>
      <c r="B35" s="105"/>
      <c r="C35" s="105"/>
      <c r="D35" s="106"/>
      <c r="F35" s="215" t="str">
        <f>CONCATENATE("Jeg benytter gevindstang",G44,G45)</f>
        <v>Jeg benytter gevindstang M 10</v>
      </c>
      <c r="G35" s="215"/>
      <c r="H35" s="215"/>
      <c r="I35" s="215"/>
    </row>
    <row r="36" spans="1:25" ht="30">
      <c r="A36" s="209" t="s">
        <v>139</v>
      </c>
      <c r="B36" s="107" t="s">
        <v>127</v>
      </c>
      <c r="C36" s="107" t="s">
        <v>128</v>
      </c>
      <c r="D36" s="107" t="s">
        <v>129</v>
      </c>
      <c r="E36" s="213" t="str">
        <f>CONCATENATE("Hver omgang på håndtaget giver en vandring på ",H45,H44)</f>
        <v>Hver omgang på håndtaget giver en vandring på 1,5mm</v>
      </c>
      <c r="F36" s="214"/>
      <c r="G36" s="214"/>
      <c r="H36" s="214"/>
      <c r="I36" s="214"/>
      <c r="J36" s="214"/>
    </row>
    <row r="37" spans="1:25">
      <c r="A37" s="210"/>
      <c r="B37" s="108" t="s">
        <v>130</v>
      </c>
      <c r="C37" s="108" t="s">
        <v>131</v>
      </c>
      <c r="D37" s="108" t="s">
        <v>132</v>
      </c>
      <c r="E37" s="222"/>
      <c r="F37" s="223"/>
      <c r="G37" s="223"/>
      <c r="H37" s="223"/>
      <c r="I37" s="223"/>
      <c r="J37" s="223"/>
    </row>
    <row r="38" spans="1:25">
      <c r="A38" s="109">
        <v>2</v>
      </c>
      <c r="B38" s="110">
        <v>0.4</v>
      </c>
      <c r="C38" s="110">
        <v>2</v>
      </c>
      <c r="D38" s="110">
        <v>1.6</v>
      </c>
    </row>
    <row r="39" spans="1:25">
      <c r="A39" s="109">
        <v>3</v>
      </c>
      <c r="B39" s="110">
        <v>0.5</v>
      </c>
      <c r="C39" s="110">
        <v>3</v>
      </c>
      <c r="D39" s="110">
        <v>2.5</v>
      </c>
    </row>
    <row r="40" spans="1:25">
      <c r="A40" s="109">
        <v>4</v>
      </c>
      <c r="B40" s="110">
        <v>0.7</v>
      </c>
      <c r="C40" s="110">
        <v>4</v>
      </c>
      <c r="D40" s="110">
        <v>3.3</v>
      </c>
      <c r="H40" s="4"/>
      <c r="J40" t="s">
        <v>167</v>
      </c>
      <c r="K40" t="s">
        <v>170</v>
      </c>
      <c r="L40" t="s">
        <v>171</v>
      </c>
      <c r="W40" s="167" t="s">
        <v>168</v>
      </c>
    </row>
    <row r="41" spans="1:25">
      <c r="A41" s="109">
        <v>5</v>
      </c>
      <c r="B41" s="110">
        <v>0.8</v>
      </c>
      <c r="C41" s="110">
        <v>5</v>
      </c>
      <c r="D41" s="110">
        <v>4.2</v>
      </c>
      <c r="H41" s="112"/>
    </row>
    <row r="42" spans="1:25">
      <c r="A42" s="109">
        <v>6</v>
      </c>
      <c r="B42" s="110">
        <v>1</v>
      </c>
      <c r="C42" s="110">
        <v>6</v>
      </c>
      <c r="D42" s="110">
        <v>5</v>
      </c>
      <c r="K42" s="190" t="s">
        <v>97</v>
      </c>
      <c r="L42" s="190"/>
      <c r="M42" s="164">
        <v>0</v>
      </c>
      <c r="N42" s="102">
        <f>$H$45*N43</f>
        <v>1.5</v>
      </c>
      <c r="O42" s="102">
        <f t="shared" ref="O42:Y42" si="2">$H$45*O43</f>
        <v>3</v>
      </c>
      <c r="P42" s="102">
        <f t="shared" si="2"/>
        <v>4.5</v>
      </c>
      <c r="Q42" s="102">
        <f t="shared" si="2"/>
        <v>6</v>
      </c>
      <c r="R42" s="102">
        <f t="shared" si="2"/>
        <v>7.5</v>
      </c>
      <c r="S42" s="94">
        <f t="shared" si="2"/>
        <v>9</v>
      </c>
      <c r="T42" s="94">
        <f t="shared" si="2"/>
        <v>10.5</v>
      </c>
      <c r="U42" s="94">
        <f t="shared" si="2"/>
        <v>12</v>
      </c>
      <c r="V42" s="94">
        <f t="shared" si="2"/>
        <v>13.5</v>
      </c>
      <c r="W42" s="94">
        <f t="shared" si="2"/>
        <v>15</v>
      </c>
      <c r="X42" s="94">
        <f t="shared" si="2"/>
        <v>16.5</v>
      </c>
      <c r="Y42" s="94">
        <f t="shared" si="2"/>
        <v>18</v>
      </c>
    </row>
    <row r="43" spans="1:25">
      <c r="A43" s="109">
        <v>7</v>
      </c>
      <c r="B43" s="110">
        <v>1</v>
      </c>
      <c r="C43" s="110">
        <v>7</v>
      </c>
      <c r="D43" s="110">
        <v>6</v>
      </c>
      <c r="K43" s="206" t="s">
        <v>134</v>
      </c>
      <c r="L43" s="206"/>
      <c r="M43" s="164">
        <v>0</v>
      </c>
      <c r="N43" s="128">
        <v>1</v>
      </c>
      <c r="O43" s="128">
        <v>2</v>
      </c>
      <c r="P43" s="128">
        <v>3</v>
      </c>
      <c r="Q43" s="128">
        <v>4</v>
      </c>
      <c r="R43" s="128">
        <v>5</v>
      </c>
      <c r="S43" s="128">
        <v>6</v>
      </c>
      <c r="T43" s="128">
        <v>7</v>
      </c>
      <c r="U43" s="128">
        <v>8</v>
      </c>
      <c r="V43" s="128">
        <v>9</v>
      </c>
      <c r="W43" s="128">
        <v>10</v>
      </c>
      <c r="X43" s="128">
        <v>11</v>
      </c>
      <c r="Y43" s="128">
        <v>12</v>
      </c>
    </row>
    <row r="44" spans="1:25">
      <c r="A44" s="109">
        <v>8</v>
      </c>
      <c r="B44" s="110">
        <v>1.25</v>
      </c>
      <c r="C44" s="110">
        <v>8</v>
      </c>
      <c r="D44" s="110">
        <v>6.8</v>
      </c>
      <c r="G44" s="117" t="s">
        <v>142</v>
      </c>
      <c r="H44" s="113" t="s">
        <v>10</v>
      </c>
      <c r="K44" s="206" t="s">
        <v>64</v>
      </c>
      <c r="L44" s="206"/>
      <c r="M44" s="164">
        <v>0</v>
      </c>
      <c r="N44" s="129">
        <f>N42*$E$2</f>
        <v>6.0724100482835635</v>
      </c>
      <c r="O44" s="129">
        <f t="shared" ref="O44:Y44" si="3">O42*$E$2</f>
        <v>12.144820096567127</v>
      </c>
      <c r="P44" s="129">
        <f t="shared" si="3"/>
        <v>18.217230144850692</v>
      </c>
      <c r="Q44" s="129">
        <f t="shared" si="3"/>
        <v>24.289640193134254</v>
      </c>
      <c r="R44" s="129">
        <f t="shared" si="3"/>
        <v>30.362050241417819</v>
      </c>
      <c r="S44" s="129">
        <f t="shared" si="3"/>
        <v>36.434460289701384</v>
      </c>
      <c r="T44" s="129">
        <f t="shared" si="3"/>
        <v>42.50687033798495</v>
      </c>
      <c r="U44" s="129">
        <f t="shared" si="3"/>
        <v>48.579280386268508</v>
      </c>
      <c r="V44" s="129">
        <f t="shared" si="3"/>
        <v>54.651690434552073</v>
      </c>
      <c r="W44" s="129">
        <f t="shared" si="3"/>
        <v>60.724100482835638</v>
      </c>
      <c r="X44" s="129">
        <f t="shared" si="3"/>
        <v>66.796510531119196</v>
      </c>
      <c r="Y44" s="129">
        <f t="shared" si="3"/>
        <v>72.868920579402769</v>
      </c>
    </row>
    <row r="45" spans="1:25">
      <c r="A45" s="118">
        <v>10</v>
      </c>
      <c r="B45" s="119">
        <v>1.5</v>
      </c>
      <c r="C45" s="119">
        <v>10</v>
      </c>
      <c r="D45" s="119">
        <v>8.5</v>
      </c>
      <c r="E45" s="211" t="s">
        <v>138</v>
      </c>
      <c r="F45" s="212"/>
      <c r="G45" s="116">
        <f>+Fjeder!G22</f>
        <v>10</v>
      </c>
      <c r="H45" s="113">
        <f>VLOOKUP($G$45,$A$38:$D$54,2)</f>
        <v>1.5</v>
      </c>
      <c r="I45" t="s">
        <v>127</v>
      </c>
      <c r="K45" s="207" t="s">
        <v>116</v>
      </c>
      <c r="L45" s="207"/>
      <c r="M45" s="164">
        <v>0</v>
      </c>
      <c r="N45" s="130">
        <f>N42*$C$2</f>
        <v>59.550000000000004</v>
      </c>
      <c r="O45" s="130">
        <f t="shared" ref="O45:Y45" si="4">O42*$C$2</f>
        <v>119.10000000000001</v>
      </c>
      <c r="P45" s="130">
        <f t="shared" si="4"/>
        <v>178.65</v>
      </c>
      <c r="Q45" s="130">
        <f t="shared" si="4"/>
        <v>238.20000000000002</v>
      </c>
      <c r="R45" s="130">
        <f t="shared" si="4"/>
        <v>297.75</v>
      </c>
      <c r="S45" s="130">
        <f t="shared" si="4"/>
        <v>357.3</v>
      </c>
      <c r="T45" s="130">
        <f t="shared" si="4"/>
        <v>416.85</v>
      </c>
      <c r="U45" s="130">
        <f t="shared" si="4"/>
        <v>476.40000000000003</v>
      </c>
      <c r="V45" s="130">
        <f t="shared" si="4"/>
        <v>535.95000000000005</v>
      </c>
      <c r="W45" s="130">
        <f t="shared" si="4"/>
        <v>595.5</v>
      </c>
      <c r="X45" s="130">
        <f t="shared" si="4"/>
        <v>655.05000000000007</v>
      </c>
      <c r="Y45" s="130">
        <f t="shared" si="4"/>
        <v>714.6</v>
      </c>
    </row>
    <row r="46" spans="1:25">
      <c r="A46" s="109">
        <v>12</v>
      </c>
      <c r="B46" s="110">
        <v>1.75</v>
      </c>
      <c r="C46" s="110">
        <v>12</v>
      </c>
      <c r="D46" s="110">
        <v>10.199999999999999</v>
      </c>
      <c r="E46" s="197" t="s">
        <v>147</v>
      </c>
      <c r="F46" s="194"/>
      <c r="H46" s="113">
        <f>VLOOKUP($G$45,$A$38:$D$54,3)</f>
        <v>10</v>
      </c>
      <c r="I46" t="s">
        <v>140</v>
      </c>
      <c r="K46" s="189" t="s">
        <v>163</v>
      </c>
      <c r="L46" s="189"/>
      <c r="M46" s="166">
        <v>0</v>
      </c>
      <c r="N46" s="165">
        <v>3.3650000000000002</v>
      </c>
      <c r="O46" s="165">
        <f>+N46+3.18</f>
        <v>6.5449999999999999</v>
      </c>
      <c r="P46" s="165">
        <f>+O46+3.24</f>
        <v>9.7850000000000001</v>
      </c>
      <c r="Q46" s="165">
        <f>+P46+3.24</f>
        <v>13.025</v>
      </c>
      <c r="R46" s="165">
        <f>+Q46+3.295</f>
        <v>16.32</v>
      </c>
      <c r="S46" s="165">
        <f>+R46+3.175</f>
        <v>19.495000000000001</v>
      </c>
      <c r="T46" s="165">
        <f>+S46+3.22</f>
        <v>22.715</v>
      </c>
      <c r="U46" s="165">
        <f>+T46+3.2</f>
        <v>25.914999999999999</v>
      </c>
      <c r="V46" s="165">
        <f>+U46+3.22</f>
        <v>29.134999999999998</v>
      </c>
      <c r="W46" s="165">
        <f>+V46+3.223</f>
        <v>32.357999999999997</v>
      </c>
      <c r="X46" s="165">
        <f>+W46+3.227</f>
        <v>35.584999999999994</v>
      </c>
      <c r="Y46" s="165">
        <f>+X46+3.23</f>
        <v>38.814999999999991</v>
      </c>
    </row>
    <row r="47" spans="1:25">
      <c r="A47" s="109">
        <v>14</v>
      </c>
      <c r="B47" s="110">
        <v>2</v>
      </c>
      <c r="C47" s="110">
        <v>14</v>
      </c>
      <c r="D47" s="110">
        <v>12</v>
      </c>
      <c r="H47" s="113">
        <f>VLOOKUP($G$45,$A$38:$D$54,4)</f>
        <v>8.5</v>
      </c>
      <c r="I47" t="s">
        <v>141</v>
      </c>
      <c r="K47" s="189" t="s">
        <v>164</v>
      </c>
      <c r="L47" s="189"/>
      <c r="M47" s="166">
        <v>0</v>
      </c>
      <c r="N47" s="165">
        <v>4</v>
      </c>
      <c r="O47" s="165">
        <f>+N47+4</f>
        <v>8</v>
      </c>
      <c r="P47" s="165">
        <f>+O47+4.1</f>
        <v>12.1</v>
      </c>
      <c r="Q47" s="165">
        <f>+P47+4</f>
        <v>16.100000000000001</v>
      </c>
      <c r="R47" s="165">
        <f>+Q47+4</f>
        <v>20.100000000000001</v>
      </c>
      <c r="S47" s="165">
        <f>+R47+4.2</f>
        <v>24.3</v>
      </c>
      <c r="T47" s="165">
        <f>+S47+3.22</f>
        <v>27.52</v>
      </c>
      <c r="U47" s="165">
        <f>+T47+4.1</f>
        <v>31.619999999999997</v>
      </c>
      <c r="V47" s="165">
        <f>+U47+4</f>
        <v>35.619999999999997</v>
      </c>
      <c r="W47" s="165">
        <f>+V47+4</f>
        <v>39.619999999999997</v>
      </c>
      <c r="X47" s="165">
        <f>+W47+4</f>
        <v>43.62</v>
      </c>
      <c r="Y47" s="165">
        <f>+X47+4</f>
        <v>47.62</v>
      </c>
    </row>
    <row r="48" spans="1:25">
      <c r="A48" s="109">
        <v>16</v>
      </c>
      <c r="B48" s="110">
        <v>2</v>
      </c>
      <c r="C48" s="110"/>
      <c r="D48" s="138"/>
      <c r="E48" s="190" t="s">
        <v>154</v>
      </c>
      <c r="F48" s="190"/>
      <c r="G48" s="190"/>
      <c r="H48" s="190"/>
      <c r="K48" s="190" t="s">
        <v>165</v>
      </c>
      <c r="L48" s="190"/>
      <c r="M48" s="219">
        <f>AVERAGE(N48:Y48)</f>
        <v>3.2345833333333327</v>
      </c>
      <c r="N48" s="220">
        <f>+N46-M46</f>
        <v>3.3650000000000002</v>
      </c>
      <c r="O48" s="220">
        <f t="shared" ref="O48:Y48" si="5">+O46-N46</f>
        <v>3.1799999999999997</v>
      </c>
      <c r="P48" s="220">
        <f t="shared" si="5"/>
        <v>3.24</v>
      </c>
      <c r="Q48" s="220">
        <f t="shared" si="5"/>
        <v>3.24</v>
      </c>
      <c r="R48" s="220">
        <f t="shared" si="5"/>
        <v>3.2949999999999999</v>
      </c>
      <c r="S48" s="220">
        <f t="shared" si="5"/>
        <v>3.1750000000000007</v>
      </c>
      <c r="T48" s="220">
        <f t="shared" si="5"/>
        <v>3.2199999999999989</v>
      </c>
      <c r="U48" s="220">
        <f t="shared" si="5"/>
        <v>3.1999999999999993</v>
      </c>
      <c r="V48" s="220">
        <f t="shared" si="5"/>
        <v>3.2199999999999989</v>
      </c>
      <c r="W48" s="220">
        <f t="shared" si="5"/>
        <v>3.222999999999999</v>
      </c>
      <c r="X48" s="220">
        <f t="shared" si="5"/>
        <v>3.2269999999999968</v>
      </c>
      <c r="Y48" s="220">
        <f t="shared" si="5"/>
        <v>3.2299999999999969</v>
      </c>
    </row>
    <row r="49" spans="1:25">
      <c r="A49" s="109">
        <v>18</v>
      </c>
      <c r="B49" s="110">
        <v>2.5</v>
      </c>
      <c r="C49" s="110"/>
      <c r="D49" s="138"/>
      <c r="E49" s="139" t="s">
        <v>151</v>
      </c>
      <c r="F49" s="140">
        <v>17.7</v>
      </c>
      <c r="G49" s="139">
        <v>1</v>
      </c>
      <c r="H49" s="139">
        <f>F49*G49</f>
        <v>17.7</v>
      </c>
      <c r="K49" s="190" t="s">
        <v>166</v>
      </c>
      <c r="L49" s="190"/>
      <c r="M49" s="219">
        <f>AVERAGE(N49:Y49)</f>
        <v>3.9683333333333333</v>
      </c>
      <c r="N49" s="220">
        <f>+N47-M47</f>
        <v>4</v>
      </c>
      <c r="O49" s="220">
        <f t="shared" ref="O49" si="6">+O47-N47</f>
        <v>4</v>
      </c>
      <c r="P49" s="220">
        <f t="shared" ref="P49" si="7">+P47-O47</f>
        <v>4.0999999999999996</v>
      </c>
      <c r="Q49" s="220">
        <f t="shared" ref="Q49" si="8">+Q47-P47</f>
        <v>4.0000000000000018</v>
      </c>
      <c r="R49" s="220">
        <f t="shared" ref="R49" si="9">+R47-Q47</f>
        <v>4</v>
      </c>
      <c r="S49" s="220">
        <f t="shared" ref="S49" si="10">+S47-R47</f>
        <v>4.1999999999999993</v>
      </c>
      <c r="T49" s="220">
        <f t="shared" ref="T49" si="11">+T47-S47</f>
        <v>3.2199999999999989</v>
      </c>
      <c r="U49" s="220">
        <f t="shared" ref="U49" si="12">+U47-T47</f>
        <v>4.0999999999999979</v>
      </c>
      <c r="V49" s="220">
        <f t="shared" ref="V49" si="13">+V47-U47</f>
        <v>4</v>
      </c>
      <c r="W49" s="220">
        <f t="shared" ref="W49" si="14">+W47-V47</f>
        <v>4</v>
      </c>
      <c r="X49" s="220">
        <f t="shared" ref="X49" si="15">+X47-W47</f>
        <v>4</v>
      </c>
      <c r="Y49" s="220">
        <f t="shared" ref="Y49" si="16">+Y47-X47</f>
        <v>4</v>
      </c>
    </row>
    <row r="50" spans="1:25">
      <c r="A50" s="109">
        <v>20</v>
      </c>
      <c r="B50" s="110">
        <v>2.5</v>
      </c>
      <c r="C50" s="110"/>
      <c r="D50" s="138"/>
      <c r="E50" s="139" t="s">
        <v>152</v>
      </c>
      <c r="F50" s="140">
        <v>7.7</v>
      </c>
      <c r="G50" s="139">
        <v>2</v>
      </c>
      <c r="H50" s="139">
        <f>F50*G50</f>
        <v>15.4</v>
      </c>
    </row>
    <row r="51" spans="1:25">
      <c r="A51" s="109">
        <v>22</v>
      </c>
      <c r="B51" s="110">
        <v>2.5</v>
      </c>
      <c r="C51" s="110"/>
      <c r="D51" s="138"/>
      <c r="E51" s="139" t="s">
        <v>153</v>
      </c>
      <c r="F51" s="140">
        <v>2</v>
      </c>
      <c r="G51" s="139"/>
      <c r="H51" s="139"/>
      <c r="N51" s="98">
        <f>N46/N47</f>
        <v>0.84125000000000005</v>
      </c>
      <c r="O51" s="98">
        <f t="shared" ref="O51:Y51" si="17">O46/O47</f>
        <v>0.81812499999999999</v>
      </c>
      <c r="P51" s="98">
        <f t="shared" si="17"/>
        <v>0.80867768595041323</v>
      </c>
      <c r="Q51" s="98">
        <f t="shared" si="17"/>
        <v>0.80900621118012417</v>
      </c>
      <c r="R51" s="98">
        <f t="shared" si="17"/>
        <v>0.81194029850746263</v>
      </c>
      <c r="S51" s="98">
        <f t="shared" si="17"/>
        <v>0.8022633744855967</v>
      </c>
      <c r="T51" s="98">
        <f t="shared" si="17"/>
        <v>0.82539970930232553</v>
      </c>
      <c r="U51" s="98">
        <f t="shared" si="17"/>
        <v>0.81957621758380772</v>
      </c>
      <c r="V51" s="98">
        <f t="shared" si="17"/>
        <v>0.81793935991016287</v>
      </c>
      <c r="W51" s="98">
        <f t="shared" si="17"/>
        <v>0.81670873296314994</v>
      </c>
      <c r="X51" s="98">
        <f t="shared" si="17"/>
        <v>0.81579550664832634</v>
      </c>
      <c r="Y51" s="98">
        <f t="shared" si="17"/>
        <v>0.81509869802603929</v>
      </c>
    </row>
    <row r="52" spans="1:25" ht="15.75" thickBot="1">
      <c r="A52" s="109">
        <v>24</v>
      </c>
      <c r="B52" s="110">
        <v>3</v>
      </c>
      <c r="C52" s="110"/>
      <c r="D52" s="138"/>
      <c r="E52" s="141" t="s">
        <v>155</v>
      </c>
      <c r="F52" s="142">
        <f>SUM(F49:F51)</f>
        <v>27.4</v>
      </c>
      <c r="G52" s="141"/>
      <c r="H52" s="143">
        <f>SUM(H49:H51)</f>
        <v>33.1</v>
      </c>
      <c r="N52" s="221"/>
    </row>
    <row r="53" spans="1:25" ht="15.75" thickTop="1">
      <c r="A53" s="109">
        <v>27</v>
      </c>
      <c r="B53" s="110">
        <v>3</v>
      </c>
      <c r="C53" s="110"/>
      <c r="D53" s="110"/>
      <c r="K53" s="131" t="s">
        <v>135</v>
      </c>
      <c r="P53" s="224" t="str">
        <f>CONCATENATE(E46,G44,G45)</f>
        <v>Omdrejninger for  M 10</v>
      </c>
    </row>
    <row r="54" spans="1:25">
      <c r="A54" s="109">
        <v>30</v>
      </c>
      <c r="B54" s="110">
        <v>3.5</v>
      </c>
      <c r="C54" s="110"/>
      <c r="D54" s="111"/>
    </row>
    <row r="72" spans="1:16">
      <c r="K72" s="132" t="s">
        <v>146</v>
      </c>
      <c r="P72" s="224" t="str">
        <f>+P53</f>
        <v>Omdrejninger for  M 10</v>
      </c>
    </row>
    <row r="74" spans="1:16" ht="15" customHeight="1">
      <c r="A74" s="133" t="s">
        <v>134</v>
      </c>
      <c r="B74" s="133" t="s">
        <v>148</v>
      </c>
      <c r="C74" s="191" t="s">
        <v>10</v>
      </c>
      <c r="D74" s="196" t="s">
        <v>149</v>
      </c>
      <c r="E74" s="196"/>
      <c r="F74" s="133" t="s">
        <v>64</v>
      </c>
    </row>
    <row r="75" spans="1:16">
      <c r="A75" s="133">
        <v>0</v>
      </c>
      <c r="B75" s="2">
        <v>42.1</v>
      </c>
      <c r="C75" s="191"/>
      <c r="D75" s="196"/>
      <c r="E75" s="196"/>
      <c r="F75" s="133">
        <v>0</v>
      </c>
    </row>
    <row r="76" spans="1:16">
      <c r="A76" s="133">
        <v>1</v>
      </c>
      <c r="B76" s="2">
        <v>40.950000000000003</v>
      </c>
      <c r="C76" s="136">
        <f>B75-B76</f>
        <v>1.1499999999999986</v>
      </c>
      <c r="D76" s="196"/>
      <c r="E76" s="196"/>
      <c r="F76" s="135">
        <f>+N44</f>
        <v>6.0724100482835635</v>
      </c>
    </row>
    <row r="77" spans="1:16">
      <c r="A77" s="133">
        <v>2</v>
      </c>
      <c r="B77" s="2">
        <v>39.840000000000003</v>
      </c>
      <c r="C77" s="136">
        <f t="shared" ref="C77:C85" si="18">B76-B77</f>
        <v>1.1099999999999994</v>
      </c>
      <c r="D77" s="196"/>
      <c r="E77" s="196"/>
      <c r="F77" s="135">
        <f>+O44</f>
        <v>12.144820096567127</v>
      </c>
      <c r="H77" s="4"/>
    </row>
    <row r="78" spans="1:16">
      <c r="A78" s="133">
        <v>3</v>
      </c>
      <c r="B78" s="2">
        <v>38.700000000000003</v>
      </c>
      <c r="C78" s="136">
        <f t="shared" si="18"/>
        <v>1.1400000000000006</v>
      </c>
      <c r="D78" s="196"/>
      <c r="E78" s="196"/>
      <c r="F78" s="135">
        <f>+P44</f>
        <v>18.217230144850692</v>
      </c>
    </row>
    <row r="79" spans="1:16">
      <c r="A79" s="133">
        <v>4</v>
      </c>
      <c r="B79" s="2">
        <v>37.21</v>
      </c>
      <c r="C79" s="136">
        <f t="shared" si="18"/>
        <v>1.490000000000002</v>
      </c>
      <c r="D79" s="191">
        <f>AVERAGE(C75:C85)</f>
        <v>1.4100000000000001</v>
      </c>
      <c r="E79" s="191"/>
      <c r="F79" s="135">
        <f>+Q44</f>
        <v>24.289640193134254</v>
      </c>
      <c r="G79" s="133" t="s">
        <v>64</v>
      </c>
      <c r="H79" s="133" t="s">
        <v>150</v>
      </c>
      <c r="I79" s="194" t="s">
        <v>134</v>
      </c>
      <c r="J79" s="194"/>
    </row>
    <row r="80" spans="1:16">
      <c r="A80" s="133">
        <v>5</v>
      </c>
      <c r="B80" s="2">
        <v>36.35</v>
      </c>
      <c r="C80" s="136">
        <f t="shared" si="18"/>
        <v>0.85999999999999943</v>
      </c>
      <c r="D80" s="191"/>
      <c r="E80" s="191"/>
      <c r="F80" s="135">
        <f>+R44</f>
        <v>30.362050241417819</v>
      </c>
      <c r="G80" s="192">
        <v>32</v>
      </c>
      <c r="H80" s="193">
        <f>SUM(C76:C81)</f>
        <v>7.8599999999999994</v>
      </c>
      <c r="I80" s="195">
        <f>H80/D79</f>
        <v>5.5744680851063819</v>
      </c>
      <c r="J80" s="195"/>
    </row>
    <row r="81" spans="1:16">
      <c r="A81" s="137">
        <v>6</v>
      </c>
      <c r="B81" s="136">
        <v>34.24</v>
      </c>
      <c r="C81" s="136">
        <f t="shared" si="18"/>
        <v>2.1099999999999994</v>
      </c>
      <c r="D81" s="191"/>
      <c r="E81" s="191"/>
      <c r="F81" s="135">
        <f>+S44</f>
        <v>36.434460289701384</v>
      </c>
      <c r="G81" s="192"/>
      <c r="H81" s="193"/>
      <c r="I81" s="195"/>
      <c r="J81" s="195"/>
    </row>
    <row r="82" spans="1:16">
      <c r="A82" s="133">
        <v>7</v>
      </c>
      <c r="B82" s="2">
        <v>33.229999999999997</v>
      </c>
      <c r="C82" s="2">
        <f t="shared" si="18"/>
        <v>1.0100000000000051</v>
      </c>
      <c r="D82" s="191"/>
      <c r="E82" s="191"/>
      <c r="F82" s="135">
        <f>+T44</f>
        <v>42.50687033798495</v>
      </c>
      <c r="G82" s="133" t="s">
        <v>62</v>
      </c>
      <c r="H82" s="2">
        <f>+E2</f>
        <v>4.0482733655223759</v>
      </c>
      <c r="I82" s="133" t="s">
        <v>69</v>
      </c>
    </row>
    <row r="83" spans="1:16">
      <c r="A83" s="133">
        <v>8</v>
      </c>
      <c r="B83" s="2">
        <v>31.82</v>
      </c>
      <c r="C83" s="2">
        <f t="shared" si="18"/>
        <v>1.4099999999999966</v>
      </c>
      <c r="D83" s="191"/>
      <c r="E83" s="191"/>
      <c r="F83" s="135">
        <f>+U44</f>
        <v>48.579280386268508</v>
      </c>
      <c r="H83" s="2"/>
      <c r="I83" s="133"/>
    </row>
    <row r="84" spans="1:16">
      <c r="A84" s="133">
        <v>9</v>
      </c>
      <c r="B84" s="2">
        <v>30.75</v>
      </c>
      <c r="C84" s="2">
        <f t="shared" si="18"/>
        <v>1.0700000000000003</v>
      </c>
      <c r="D84" s="191"/>
      <c r="E84" s="191"/>
      <c r="F84" s="135">
        <f>+V44</f>
        <v>54.651690434552073</v>
      </c>
    </row>
    <row r="85" spans="1:16">
      <c r="A85" s="133">
        <v>10</v>
      </c>
      <c r="B85" s="2">
        <v>28</v>
      </c>
      <c r="C85" s="2">
        <f t="shared" si="18"/>
        <v>2.75</v>
      </c>
      <c r="D85" s="191"/>
      <c r="E85" s="191"/>
      <c r="F85" s="135">
        <f>+W44</f>
        <v>60.724100482835638</v>
      </c>
    </row>
    <row r="86" spans="1:16">
      <c r="A86" s="133"/>
      <c r="B86" s="133"/>
      <c r="G86" s="4"/>
    </row>
    <row r="87" spans="1:16">
      <c r="A87" s="133"/>
      <c r="B87" s="133"/>
    </row>
    <row r="92" spans="1:16">
      <c r="K92" s="131" t="s">
        <v>162</v>
      </c>
      <c r="P92" s="224" t="str">
        <f>+P53</f>
        <v>Omdrejninger for  M 10</v>
      </c>
    </row>
  </sheetData>
  <mergeCells count="35">
    <mergeCell ref="K42:L42"/>
    <mergeCell ref="K44:L44"/>
    <mergeCell ref="K45:L45"/>
    <mergeCell ref="K43:L43"/>
    <mergeCell ref="A34:D34"/>
    <mergeCell ref="A36:A37"/>
    <mergeCell ref="E45:F45"/>
    <mergeCell ref="E36:J36"/>
    <mergeCell ref="F35:I35"/>
    <mergeCell ref="T22:V22"/>
    <mergeCell ref="B1:G1"/>
    <mergeCell ref="P16:V16"/>
    <mergeCell ref="A9:F9"/>
    <mergeCell ref="A8:F8"/>
    <mergeCell ref="A17:B17"/>
    <mergeCell ref="P14:V14"/>
    <mergeCell ref="P15:V15"/>
    <mergeCell ref="K19:L19"/>
    <mergeCell ref="K20:L20"/>
    <mergeCell ref="K21:L21"/>
    <mergeCell ref="G21:I21"/>
    <mergeCell ref="P13:V13"/>
    <mergeCell ref="K46:L46"/>
    <mergeCell ref="E48:H48"/>
    <mergeCell ref="C74:C75"/>
    <mergeCell ref="G80:G81"/>
    <mergeCell ref="H80:H81"/>
    <mergeCell ref="I79:J79"/>
    <mergeCell ref="I80:J81"/>
    <mergeCell ref="D74:E78"/>
    <mergeCell ref="D79:E85"/>
    <mergeCell ref="E46:F46"/>
    <mergeCell ref="K48:L48"/>
    <mergeCell ref="K47:L47"/>
    <mergeCell ref="K49:L49"/>
  </mergeCells>
  <pageMargins left="0.7" right="0.7" top="0.75" bottom="0.75" header="0.3" footer="0.3"/>
  <pageSetup paperSize="9" orientation="portrait" r:id="rId1"/>
  <ignoredErrors>
    <ignoredError sqref="B19 B21 B23 K20 V20:V21 U46 P4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80"/>
  <sheetViews>
    <sheetView workbookViewId="0"/>
  </sheetViews>
  <sheetFormatPr defaultRowHeight="15"/>
  <cols>
    <col min="1" max="1" width="1.7109375" style="144" customWidth="1"/>
    <col min="2" max="2" width="22.7109375" style="144" customWidth="1"/>
    <col min="3" max="23" width="9.140625" style="144"/>
    <col min="24" max="24" width="7" style="144" bestFit="1" customWidth="1"/>
    <col min="25" max="25" width="9.140625" style="144" customWidth="1"/>
    <col min="26" max="16384" width="9.140625" style="144"/>
  </cols>
  <sheetData>
    <row r="1" spans="1:26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26" ht="23.25">
      <c r="A2" s="145"/>
      <c r="B2" s="217" t="s">
        <v>158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145"/>
    </row>
    <row r="3" spans="1:26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218" t="s">
        <v>161</v>
      </c>
      <c r="Y3" s="218"/>
      <c r="Z3" s="145"/>
    </row>
    <row r="4" spans="1:26">
      <c r="A4" s="145"/>
      <c r="B4" s="146" t="s">
        <v>62</v>
      </c>
      <c r="C4" s="147">
        <f>+Fjeder!$Q$22</f>
        <v>39.700000000000003</v>
      </c>
      <c r="D4" s="146" t="s">
        <v>9</v>
      </c>
      <c r="E4" s="147">
        <f>C4/Data!$H$23</f>
        <v>4.0482733655223759</v>
      </c>
      <c r="F4" s="146" t="s">
        <v>69</v>
      </c>
      <c r="G4" s="216" t="str">
        <f>+Data!G21</f>
        <v>Omregnings konstanter</v>
      </c>
      <c r="H4" s="216"/>
      <c r="I4" s="216"/>
      <c r="J4" s="216"/>
      <c r="K4" s="148" t="str">
        <f>+Data!G23</f>
        <v>1 kg =</v>
      </c>
      <c r="L4" s="149">
        <f>+Data!H23</f>
        <v>9.8066499999999994</v>
      </c>
      <c r="M4" s="148" t="str">
        <f>+Data!I23</f>
        <v>N</v>
      </c>
      <c r="N4" s="149" t="s">
        <v>38</v>
      </c>
      <c r="O4" s="148">
        <f>Fjeder!$M$22</f>
        <v>41</v>
      </c>
      <c r="P4" s="149" t="s">
        <v>10</v>
      </c>
      <c r="Q4" s="149"/>
      <c r="R4" s="149"/>
      <c r="S4" s="149"/>
      <c r="T4" s="149"/>
      <c r="U4" s="149"/>
      <c r="V4" s="149"/>
      <c r="W4" s="149"/>
      <c r="X4" s="218"/>
      <c r="Y4" s="218"/>
      <c r="Z4" s="145"/>
    </row>
    <row r="5" spans="1:26">
      <c r="A5" s="145"/>
      <c r="B5" s="150" t="s">
        <v>118</v>
      </c>
      <c r="C5" s="150"/>
      <c r="D5" s="150"/>
      <c r="E5" s="150"/>
      <c r="F5" s="150"/>
      <c r="G5" s="150"/>
      <c r="H5" s="145"/>
      <c r="I5" s="145" t="s">
        <v>157</v>
      </c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218"/>
      <c r="Y5" s="218"/>
      <c r="Z5" s="145"/>
    </row>
    <row r="6" spans="1:26">
      <c r="A6" s="145"/>
      <c r="B6" s="151" t="s">
        <v>64</v>
      </c>
      <c r="C6" s="152">
        <v>0</v>
      </c>
      <c r="D6" s="152">
        <v>2</v>
      </c>
      <c r="E6" s="152">
        <v>4</v>
      </c>
      <c r="F6" s="152">
        <v>6</v>
      </c>
      <c r="G6" s="152">
        <v>8</v>
      </c>
      <c r="H6" s="152">
        <v>10</v>
      </c>
      <c r="I6" s="152">
        <v>12</v>
      </c>
      <c r="J6" s="152">
        <v>14</v>
      </c>
      <c r="K6" s="152">
        <v>16</v>
      </c>
      <c r="L6" s="152">
        <v>18</v>
      </c>
      <c r="M6" s="152">
        <v>20</v>
      </c>
      <c r="N6" s="152">
        <v>22</v>
      </c>
      <c r="O6" s="152">
        <v>24</v>
      </c>
      <c r="P6" s="152">
        <v>26</v>
      </c>
      <c r="Q6" s="152">
        <v>28</v>
      </c>
      <c r="R6" s="152">
        <v>30</v>
      </c>
      <c r="S6" s="152">
        <v>32</v>
      </c>
      <c r="T6" s="152">
        <v>34</v>
      </c>
      <c r="U6" s="152">
        <v>36</v>
      </c>
      <c r="V6" s="152">
        <v>38</v>
      </c>
      <c r="W6" s="152">
        <v>40</v>
      </c>
      <c r="X6" s="145"/>
      <c r="Y6" s="160">
        <f>ROUND(Y7/L4,2)</f>
        <v>72.39</v>
      </c>
      <c r="Z6" s="145"/>
    </row>
    <row r="7" spans="1:26">
      <c r="A7" s="145"/>
      <c r="B7" s="151" t="s">
        <v>116</v>
      </c>
      <c r="C7" s="152">
        <f>+C6*$L$4</f>
        <v>0</v>
      </c>
      <c r="D7" s="153">
        <f t="shared" ref="D7:K7" si="0">+D6*$L$4</f>
        <v>19.613299999999999</v>
      </c>
      <c r="E7" s="153">
        <f t="shared" si="0"/>
        <v>39.226599999999998</v>
      </c>
      <c r="F7" s="153">
        <f t="shared" si="0"/>
        <v>58.8399</v>
      </c>
      <c r="G7" s="153">
        <f t="shared" si="0"/>
        <v>78.453199999999995</v>
      </c>
      <c r="H7" s="153">
        <f t="shared" si="0"/>
        <v>98.066499999999991</v>
      </c>
      <c r="I7" s="153">
        <f t="shared" si="0"/>
        <v>117.6798</v>
      </c>
      <c r="J7" s="153">
        <f t="shared" si="0"/>
        <v>137.29309999999998</v>
      </c>
      <c r="K7" s="153">
        <f t="shared" si="0"/>
        <v>156.90639999999999</v>
      </c>
      <c r="L7" s="153">
        <f t="shared" ref="L7" si="1">+L6*$L$4</f>
        <v>176.5197</v>
      </c>
      <c r="M7" s="153">
        <f t="shared" ref="M7" si="2">+M6*$L$4</f>
        <v>196.13299999999998</v>
      </c>
      <c r="N7" s="153">
        <f t="shared" ref="N7" si="3">+N6*$L$4</f>
        <v>215.74629999999999</v>
      </c>
      <c r="O7" s="153">
        <f t="shared" ref="O7" si="4">+O6*$L$4</f>
        <v>235.3596</v>
      </c>
      <c r="P7" s="153">
        <f t="shared" ref="P7" si="5">+P6*$L$4</f>
        <v>254.97289999999998</v>
      </c>
      <c r="Q7" s="153">
        <f t="shared" ref="Q7" si="6">+Q6*$L$4</f>
        <v>274.58619999999996</v>
      </c>
      <c r="R7" s="153">
        <f t="shared" ref="R7" si="7">+R6*$L$4</f>
        <v>294.1995</v>
      </c>
      <c r="S7" s="153">
        <f t="shared" ref="S7" si="8">+S6*$L$4</f>
        <v>313.81279999999998</v>
      </c>
      <c r="T7" s="153">
        <f t="shared" ref="T7" si="9">+T6*$L$4</f>
        <v>333.42609999999996</v>
      </c>
      <c r="U7" s="153">
        <f t="shared" ref="U7" si="10">+U6*$L$4</f>
        <v>353.0394</v>
      </c>
      <c r="V7" s="153">
        <f t="shared" ref="V7" si="11">+V6*$L$4</f>
        <v>372.65269999999998</v>
      </c>
      <c r="W7" s="153">
        <f t="shared" ref="W7" si="12">+W6*$L$4</f>
        <v>392.26599999999996</v>
      </c>
      <c r="X7" s="145"/>
      <c r="Y7" s="161">
        <f>+Fjeder!$P$22</f>
        <v>709.88</v>
      </c>
      <c r="Z7" s="145"/>
    </row>
    <row r="8" spans="1:26">
      <c r="A8" s="145"/>
      <c r="B8" s="151" t="s">
        <v>160</v>
      </c>
      <c r="C8" s="154">
        <f>ROUND((C7/$C$4),2)</f>
        <v>0</v>
      </c>
      <c r="D8" s="154">
        <f>ROUND((D7/$C$4),2)</f>
        <v>0.49</v>
      </c>
      <c r="E8" s="154">
        <f t="shared" ref="E8:K8" si="13">ROUND((E7/$C$4),2)</f>
        <v>0.99</v>
      </c>
      <c r="F8" s="154">
        <f t="shared" si="13"/>
        <v>1.48</v>
      </c>
      <c r="G8" s="154">
        <f t="shared" si="13"/>
        <v>1.98</v>
      </c>
      <c r="H8" s="154">
        <f t="shared" si="13"/>
        <v>2.4700000000000002</v>
      </c>
      <c r="I8" s="154">
        <f t="shared" si="13"/>
        <v>2.96</v>
      </c>
      <c r="J8" s="154">
        <f t="shared" si="13"/>
        <v>3.46</v>
      </c>
      <c r="K8" s="154">
        <f t="shared" si="13"/>
        <v>3.95</v>
      </c>
      <c r="L8" s="154">
        <f t="shared" ref="L8" si="14">ROUND((L7/$C$4),2)</f>
        <v>4.45</v>
      </c>
      <c r="M8" s="154">
        <f t="shared" ref="M8" si="15">ROUND((M7/$C$4),2)</f>
        <v>4.9400000000000004</v>
      </c>
      <c r="N8" s="154">
        <f t="shared" ref="N8" si="16">ROUND((N7/$C$4),2)</f>
        <v>5.43</v>
      </c>
      <c r="O8" s="154">
        <f t="shared" ref="O8" si="17">ROUND((O7/$C$4),2)</f>
        <v>5.93</v>
      </c>
      <c r="P8" s="154">
        <f t="shared" ref="P8" si="18">ROUND((P7/$C$4),2)</f>
        <v>6.42</v>
      </c>
      <c r="Q8" s="154">
        <f t="shared" ref="Q8" si="19">ROUND((Q7/$C$4),2)</f>
        <v>6.92</v>
      </c>
      <c r="R8" s="154">
        <f t="shared" ref="R8" si="20">ROUND((R7/$C$4),2)</f>
        <v>7.41</v>
      </c>
      <c r="S8" s="154">
        <f t="shared" ref="S8" si="21">ROUND((S7/$C$4),2)</f>
        <v>7.9</v>
      </c>
      <c r="T8" s="154">
        <f t="shared" ref="T8" si="22">ROUND((T7/$C$4),2)</f>
        <v>8.4</v>
      </c>
      <c r="U8" s="154">
        <f t="shared" ref="U8" si="23">ROUND((U7/$C$4),2)</f>
        <v>8.89</v>
      </c>
      <c r="V8" s="154">
        <f t="shared" ref="V8" si="24">ROUND((V7/$C$4),2)</f>
        <v>9.39</v>
      </c>
      <c r="W8" s="154">
        <f t="shared" ref="W8" si="25">ROUND((W7/$C$4),2)</f>
        <v>9.8800000000000008</v>
      </c>
      <c r="X8" s="145"/>
      <c r="Y8" s="162">
        <f>+Fjeder!O22</f>
        <v>18.100000000000001</v>
      </c>
      <c r="Z8" s="155"/>
    </row>
    <row r="9" spans="1:26">
      <c r="A9" s="145"/>
      <c r="B9" s="156" t="s">
        <v>159</v>
      </c>
      <c r="C9" s="157">
        <f>$O$4-C8</f>
        <v>41</v>
      </c>
      <c r="D9" s="157">
        <f t="shared" ref="D9:W9" si="26">$O$4-D8</f>
        <v>40.51</v>
      </c>
      <c r="E9" s="157">
        <f t="shared" si="26"/>
        <v>40.01</v>
      </c>
      <c r="F9" s="157">
        <f t="shared" si="26"/>
        <v>39.520000000000003</v>
      </c>
      <c r="G9" s="157">
        <f t="shared" si="26"/>
        <v>39.020000000000003</v>
      </c>
      <c r="H9" s="157">
        <f t="shared" si="26"/>
        <v>38.53</v>
      </c>
      <c r="I9" s="157">
        <f t="shared" si="26"/>
        <v>38.04</v>
      </c>
      <c r="J9" s="157">
        <f t="shared" si="26"/>
        <v>37.54</v>
      </c>
      <c r="K9" s="157">
        <f t="shared" si="26"/>
        <v>37.049999999999997</v>
      </c>
      <c r="L9" s="157">
        <f t="shared" si="26"/>
        <v>36.549999999999997</v>
      </c>
      <c r="M9" s="157">
        <f t="shared" si="26"/>
        <v>36.06</v>
      </c>
      <c r="N9" s="157">
        <f t="shared" si="26"/>
        <v>35.57</v>
      </c>
      <c r="O9" s="157">
        <f t="shared" si="26"/>
        <v>35.07</v>
      </c>
      <c r="P9" s="157">
        <f t="shared" si="26"/>
        <v>34.58</v>
      </c>
      <c r="Q9" s="157">
        <f t="shared" si="26"/>
        <v>34.08</v>
      </c>
      <c r="R9" s="157">
        <f t="shared" si="26"/>
        <v>33.590000000000003</v>
      </c>
      <c r="S9" s="157">
        <f t="shared" si="26"/>
        <v>33.1</v>
      </c>
      <c r="T9" s="157">
        <f t="shared" si="26"/>
        <v>32.6</v>
      </c>
      <c r="U9" s="157">
        <f t="shared" si="26"/>
        <v>32.11</v>
      </c>
      <c r="V9" s="157">
        <f t="shared" si="26"/>
        <v>31.61</v>
      </c>
      <c r="W9" s="157">
        <f t="shared" si="26"/>
        <v>31.119999999999997</v>
      </c>
      <c r="X9" s="163">
        <f>Y8+Y9</f>
        <v>41</v>
      </c>
      <c r="Y9" s="161">
        <f>$O$4-Y8</f>
        <v>22.9</v>
      </c>
      <c r="Z9" s="148"/>
    </row>
    <row r="10" spans="1:26">
      <c r="A10" s="145"/>
      <c r="B10" s="158" t="s">
        <v>156</v>
      </c>
      <c r="C10" s="145"/>
      <c r="D10" s="145"/>
      <c r="E10" s="145"/>
      <c r="F10" s="145"/>
      <c r="G10" s="145" t="s">
        <v>173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1:26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pans="1:26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</row>
    <row r="27" spans="1:26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</row>
    <row r="29" spans="1:26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</row>
    <row r="30" spans="1:26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</row>
    <row r="31" spans="1:26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1:26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</row>
    <row r="33" spans="1:27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7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7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7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7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  <row r="38" spans="1:27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</row>
    <row r="39" spans="1:27">
      <c r="A39" s="145"/>
      <c r="B39" s="145" t="s">
        <v>125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</row>
    <row r="40" spans="1:27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</row>
    <row r="41" spans="1:27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59"/>
    </row>
    <row r="42" spans="1:27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59"/>
    </row>
    <row r="43" spans="1:27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59"/>
    </row>
    <row r="44" spans="1:27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59"/>
    </row>
    <row r="45" spans="1:27">
      <c r="A45" s="145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59"/>
    </row>
    <row r="46" spans="1:27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59"/>
    </row>
    <row r="47" spans="1:27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59"/>
    </row>
    <row r="48" spans="1:27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59"/>
    </row>
    <row r="49" spans="1:27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59"/>
    </row>
    <row r="50" spans="1:27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59"/>
    </row>
    <row r="51" spans="1:27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59"/>
    </row>
    <row r="52" spans="1:27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</row>
    <row r="53" spans="1:27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</row>
    <row r="54" spans="1:27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</row>
    <row r="55" spans="1:27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</row>
    <row r="56" spans="1:27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</row>
    <row r="57" spans="1:27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</row>
    <row r="58" spans="1:27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</row>
    <row r="59" spans="1:27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</row>
    <row r="60" spans="1:27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</row>
    <row r="61" spans="1:27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</row>
    <row r="62" spans="1:27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</row>
    <row r="63" spans="1:27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</row>
    <row r="64" spans="1:27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</row>
    <row r="65" spans="1:26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</row>
    <row r="66" spans="1:26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</row>
    <row r="67" spans="1:26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</row>
    <row r="68" spans="1:26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</row>
    <row r="69" spans="1:26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</row>
    <row r="70" spans="1:26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</row>
    <row r="71" spans="1:26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</row>
    <row r="72" spans="1:26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</row>
    <row r="73" spans="1:26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</row>
    <row r="74" spans="1:26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</row>
    <row r="75" spans="1:26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</row>
    <row r="76" spans="1:26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</row>
    <row r="77" spans="1:26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</row>
    <row r="78" spans="1:26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</row>
    <row r="79" spans="1:26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</row>
    <row r="80" spans="1:26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</row>
  </sheetData>
  <mergeCells count="3">
    <mergeCell ref="G4:J4"/>
    <mergeCell ref="B2:Y2"/>
    <mergeCell ref="X3:Y5"/>
  </mergeCells>
  <pageMargins left="0.7" right="0.7" top="0.75" bottom="0.75" header="0.3" footer="0.3"/>
  <pageSetup paperSize="9" scale="95" orientation="portrait" r:id="rId1"/>
  <ignoredErrors>
    <ignoredError sqref="X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Fjeder</vt:lpstr>
      <vt:lpstr>Data</vt:lpstr>
      <vt:lpstr>Vandring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cp:lastPrinted>2019-03-07T18:04:19Z</cp:lastPrinted>
  <dcterms:created xsi:type="dcterms:W3CDTF">2019-02-14T06:40:43Z</dcterms:created>
  <dcterms:modified xsi:type="dcterms:W3CDTF">2019-04-17T17:19:35Z</dcterms:modified>
</cp:coreProperties>
</file>