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20100" windowHeight="9030"/>
  </bookViews>
  <sheets>
    <sheet name="Let" sheetId="4" r:id="rId1"/>
  </sheets>
  <definedNames>
    <definedName name="_xlnm.Print_Area" localSheetId="0">Let!$BA$3:$BK$44</definedName>
  </definedNames>
  <calcPr calcId="125725" iterate="1"/>
</workbook>
</file>

<file path=xl/calcChain.xml><?xml version="1.0" encoding="utf-8"?>
<calcChain xmlns="http://schemas.openxmlformats.org/spreadsheetml/2006/main">
  <c r="B18" i="4"/>
  <c r="A14"/>
  <c r="M6"/>
  <c r="BJ33"/>
  <c r="L2" l="1"/>
  <c r="N10"/>
  <c r="AS22"/>
  <c r="AS23" s="1"/>
  <c r="AU34"/>
  <c r="L6" l="1"/>
  <c r="K10" s="1"/>
  <c r="BI23"/>
  <c r="BI20"/>
  <c r="BK23"/>
  <c r="BK20"/>
  <c r="BC9"/>
  <c r="BI7"/>
  <c r="BD3"/>
  <c r="BF11" s="1"/>
  <c r="AS19"/>
  <c r="AS5"/>
  <c r="AS6" s="1"/>
  <c r="AS2"/>
  <c r="M31"/>
  <c r="AW7" s="1"/>
  <c r="AW8" s="1"/>
  <c r="BA32" s="1"/>
  <c r="C20"/>
  <c r="Q61"/>
  <c r="Q60"/>
  <c r="BM30"/>
  <c r="BA31" s="1"/>
  <c r="BG24"/>
  <c r="BG23"/>
  <c r="BG22"/>
  <c r="BG21"/>
  <c r="BA15"/>
  <c r="AU5"/>
  <c r="AZ49"/>
  <c r="AT50" s="1"/>
  <c r="B1" s="1"/>
  <c r="AS3" l="1"/>
  <c r="AW2"/>
  <c r="AW3" s="1"/>
  <c r="M28" s="1"/>
  <c r="AS7"/>
  <c r="G29"/>
  <c r="AS4"/>
  <c r="AT5"/>
  <c r="AT52"/>
  <c r="BB6" s="1"/>
  <c r="J29" l="1"/>
  <c r="D4"/>
  <c r="D3"/>
  <c r="BA20" l="1"/>
  <c r="BF7"/>
  <c r="BC35"/>
  <c r="BB29"/>
  <c r="BB27"/>
  <c r="BM28"/>
  <c r="BM27"/>
  <c r="L1" l="1"/>
  <c r="BK31"/>
  <c r="F11"/>
  <c r="BD25"/>
  <c r="BI17" l="1"/>
  <c r="BE17"/>
  <c r="BG17"/>
  <c r="BG16"/>
  <c r="C5"/>
  <c r="F9" s="1"/>
  <c r="M5" s="1"/>
  <c r="BC17"/>
  <c r="BA17"/>
  <c r="BC16"/>
  <c r="BE24"/>
  <c r="BE23"/>
  <c r="BE22"/>
  <c r="BE21"/>
  <c r="BD24"/>
  <c r="BD23"/>
  <c r="BD22"/>
  <c r="BD21"/>
  <c r="BA24"/>
  <c r="BA23"/>
  <c r="BA22"/>
  <c r="BA21"/>
  <c r="F7"/>
  <c r="M3" s="1"/>
  <c r="F8"/>
  <c r="M4" s="1"/>
  <c r="O62"/>
  <c r="BH11" s="1"/>
  <c r="BI14"/>
  <c r="BG14"/>
  <c r="BE14"/>
  <c r="BC14"/>
  <c r="BA14"/>
  <c r="BI16"/>
  <c r="BE16"/>
  <c r="BA16"/>
  <c r="BI13"/>
  <c r="BG13"/>
  <c r="BE13"/>
  <c r="BC13"/>
  <c r="BA13"/>
  <c r="AN9"/>
  <c r="J41"/>
  <c r="J39"/>
  <c r="J38"/>
  <c r="J37"/>
  <c r="J15"/>
  <c r="L15" s="1"/>
  <c r="J14"/>
  <c r="L14" s="1"/>
  <c r="J13"/>
  <c r="L13" s="1"/>
  <c r="J12"/>
  <c r="L12" s="1"/>
  <c r="AO1"/>
  <c r="AO19" s="1"/>
  <c r="AM1"/>
  <c r="AL31" s="1"/>
  <c r="AK1"/>
  <c r="AJ31" s="1"/>
  <c r="AI1"/>
  <c r="AH32" s="1"/>
  <c r="Q58"/>
  <c r="Q57"/>
  <c r="Q56"/>
  <c r="Q52"/>
  <c r="Q51"/>
  <c r="Q50"/>
  <c r="Q46"/>
  <c r="Q45"/>
  <c r="Q44"/>
  <c r="Q40"/>
  <c r="Q39"/>
  <c r="Q38"/>
  <c r="C11"/>
  <c r="C10"/>
  <c r="C8"/>
  <c r="BF21" s="1"/>
  <c r="C9"/>
  <c r="J4"/>
  <c r="K4" s="1"/>
  <c r="J3"/>
  <c r="K3" s="1"/>
  <c r="H4"/>
  <c r="H3"/>
  <c r="AG1"/>
  <c r="AF28" s="1"/>
  <c r="Q34"/>
  <c r="Q33"/>
  <c r="Q32"/>
  <c r="AE1"/>
  <c r="AE31" s="1"/>
  <c r="Q28"/>
  <c r="Q27"/>
  <c r="Q26"/>
  <c r="AC1"/>
  <c r="AC30" s="1"/>
  <c r="Q22"/>
  <c r="Q21"/>
  <c r="Q20"/>
  <c r="AA1"/>
  <c r="Z28" s="1"/>
  <c r="Q16"/>
  <c r="Q15"/>
  <c r="Q14"/>
  <c r="Y1"/>
  <c r="X28" s="1"/>
  <c r="Q10"/>
  <c r="Q9"/>
  <c r="Q4"/>
  <c r="Q3"/>
  <c r="Q8"/>
  <c r="W1"/>
  <c r="V29" s="1"/>
  <c r="Q2"/>
  <c r="K15" l="1"/>
  <c r="BF24"/>
  <c r="K13"/>
  <c r="BF22"/>
  <c r="K12"/>
  <c r="K14"/>
  <c r="BF23"/>
  <c r="AN28"/>
  <c r="AO21"/>
  <c r="AN21"/>
  <c r="AN18"/>
  <c r="AN17"/>
  <c r="AO14"/>
  <c r="AO9"/>
  <c r="L4"/>
  <c r="L3"/>
  <c r="AL23"/>
  <c r="AL9"/>
  <c r="AM3"/>
  <c r="AN12"/>
  <c r="AO22"/>
  <c r="AN11"/>
  <c r="AN22"/>
  <c r="AN33"/>
  <c r="AM9"/>
  <c r="AL20"/>
  <c r="AO32"/>
  <c r="AN30"/>
  <c r="AL6"/>
  <c r="AM18"/>
  <c r="AL29"/>
  <c r="AO5"/>
  <c r="AL18"/>
  <c r="AO28"/>
  <c r="AO16"/>
  <c r="AN25"/>
  <c r="AB4"/>
  <c r="AL3"/>
  <c r="AC3"/>
  <c r="AL15"/>
  <c r="AO23"/>
  <c r="AG15"/>
  <c r="AG3"/>
  <c r="AD14"/>
  <c r="AD33"/>
  <c r="AE12"/>
  <c r="AE27"/>
  <c r="AE11"/>
  <c r="AD27"/>
  <c r="AD16"/>
  <c r="AD11"/>
  <c r="AD26"/>
  <c r="AE10"/>
  <c r="AD25"/>
  <c r="AD9"/>
  <c r="AD23"/>
  <c r="AE5"/>
  <c r="AD22"/>
  <c r="R27" s="1"/>
  <c r="AD20"/>
  <c r="AE33"/>
  <c r="AD5"/>
  <c r="AE4"/>
  <c r="AD19"/>
  <c r="AD4"/>
  <c r="AE18"/>
  <c r="AE3"/>
  <c r="AE17"/>
  <c r="AB3"/>
  <c r="AB31"/>
  <c r="AB27"/>
  <c r="AB22"/>
  <c r="AB16"/>
  <c r="AB13"/>
  <c r="AC11"/>
  <c r="AB6"/>
  <c r="AC4"/>
  <c r="AO8"/>
  <c r="AN14"/>
  <c r="AO20"/>
  <c r="AO27"/>
  <c r="AN7"/>
  <c r="AO13"/>
  <c r="AN27"/>
  <c r="AO6"/>
  <c r="AN13"/>
  <c r="AN19"/>
  <c r="AO26"/>
  <c r="AN6"/>
  <c r="AO12"/>
  <c r="AO18"/>
  <c r="AN26"/>
  <c r="AO33"/>
  <c r="AN5"/>
  <c r="AO10"/>
  <c r="AN23"/>
  <c r="AN32"/>
  <c r="R57"/>
  <c r="AO4"/>
  <c r="AN10"/>
  <c r="AO17"/>
  <c r="AO31"/>
  <c r="AL8"/>
  <c r="AM12"/>
  <c r="AL12"/>
  <c r="AL17"/>
  <c r="AM6"/>
  <c r="AL11"/>
  <c r="AM15"/>
  <c r="AM21"/>
  <c r="AL26"/>
  <c r="AL5"/>
  <c r="AL14"/>
  <c r="AM24"/>
  <c r="R52" s="1"/>
  <c r="AL32"/>
  <c r="AN31"/>
  <c r="AO25"/>
  <c r="AO30"/>
  <c r="AN4"/>
  <c r="AN8"/>
  <c r="AN16"/>
  <c r="AN20"/>
  <c r="AO24"/>
  <c r="AO29"/>
  <c r="AO3"/>
  <c r="AO15"/>
  <c r="AN24"/>
  <c r="AN29"/>
  <c r="AN3"/>
  <c r="AO7"/>
  <c r="AO11"/>
  <c r="AN15"/>
  <c r="AM27"/>
  <c r="AM30"/>
  <c r="AM33"/>
  <c r="AL21"/>
  <c r="AL24"/>
  <c r="R51" s="1"/>
  <c r="AL27"/>
  <c r="AL30"/>
  <c r="AL33"/>
  <c r="AM5"/>
  <c r="AM8"/>
  <c r="AM11"/>
  <c r="AM14"/>
  <c r="AM17"/>
  <c r="AM20"/>
  <c r="AM23"/>
  <c r="AM26"/>
  <c r="AM29"/>
  <c r="AM32"/>
  <c r="AM4"/>
  <c r="AM7"/>
  <c r="AM10"/>
  <c r="AM13"/>
  <c r="AM16"/>
  <c r="AM19"/>
  <c r="AM22"/>
  <c r="AM25"/>
  <c r="AM28"/>
  <c r="AM31"/>
  <c r="AL4"/>
  <c r="AL7"/>
  <c r="AL10"/>
  <c r="AL13"/>
  <c r="AL16"/>
  <c r="AL19"/>
  <c r="AL22"/>
  <c r="AL25"/>
  <c r="AL28"/>
  <c r="AI3"/>
  <c r="AI5"/>
  <c r="AI7"/>
  <c r="AI9"/>
  <c r="AI11"/>
  <c r="AI13"/>
  <c r="AI15"/>
  <c r="AI17"/>
  <c r="AI19"/>
  <c r="AI21"/>
  <c r="AI23"/>
  <c r="AI25"/>
  <c r="AI27"/>
  <c r="AI29"/>
  <c r="AI31"/>
  <c r="AI33"/>
  <c r="AH3"/>
  <c r="AH5"/>
  <c r="AH7"/>
  <c r="AH9"/>
  <c r="AH11"/>
  <c r="AH13"/>
  <c r="AH15"/>
  <c r="AH17"/>
  <c r="AH19"/>
  <c r="AH21"/>
  <c r="AH23"/>
  <c r="AH25"/>
  <c r="AH27"/>
  <c r="AH29"/>
  <c r="AH31"/>
  <c r="AH33"/>
  <c r="AI4"/>
  <c r="AI6"/>
  <c r="AI8"/>
  <c r="AI10"/>
  <c r="AI12"/>
  <c r="AI14"/>
  <c r="AI16"/>
  <c r="AI18"/>
  <c r="AI20"/>
  <c r="AI22"/>
  <c r="AI24"/>
  <c r="AI26"/>
  <c r="AI28"/>
  <c r="AI30"/>
  <c r="R40" s="1"/>
  <c r="AI32"/>
  <c r="AH4"/>
  <c r="AH6"/>
  <c r="AH8"/>
  <c r="AH10"/>
  <c r="AH12"/>
  <c r="AH14"/>
  <c r="AH16"/>
  <c r="AH18"/>
  <c r="AH20"/>
  <c r="AH22"/>
  <c r="AH24"/>
  <c r="AH26"/>
  <c r="AH28"/>
  <c r="AH30"/>
  <c r="R39" s="1"/>
  <c r="AK12"/>
  <c r="AK17"/>
  <c r="AK7"/>
  <c r="AJ17"/>
  <c r="AK8"/>
  <c r="AK13"/>
  <c r="AK25"/>
  <c r="AK11"/>
  <c r="AK6"/>
  <c r="AJ11"/>
  <c r="AK16"/>
  <c r="AK28"/>
  <c r="AJ8"/>
  <c r="AK14"/>
  <c r="AK26"/>
  <c r="AK3"/>
  <c r="AK23"/>
  <c r="AJ23"/>
  <c r="AK9"/>
  <c r="AJ14"/>
  <c r="AJ26"/>
  <c r="AK4"/>
  <c r="AK19"/>
  <c r="AK31"/>
  <c r="AK22"/>
  <c r="AK5"/>
  <c r="AK10"/>
  <c r="AK20"/>
  <c r="AK32"/>
  <c r="AK29"/>
  <c r="AJ29"/>
  <c r="AJ5"/>
  <c r="AJ20"/>
  <c r="AJ32"/>
  <c r="AK15"/>
  <c r="AK18"/>
  <c r="AK21"/>
  <c r="AK24"/>
  <c r="AK27"/>
  <c r="AK30"/>
  <c r="AK33"/>
  <c r="AJ3"/>
  <c r="AJ6"/>
  <c r="AJ9"/>
  <c r="AJ12"/>
  <c r="AJ15"/>
  <c r="AJ18"/>
  <c r="AJ21"/>
  <c r="AJ24"/>
  <c r="AJ27"/>
  <c r="AJ30"/>
  <c r="AJ33"/>
  <c r="AJ4"/>
  <c r="AJ7"/>
  <c r="AJ10"/>
  <c r="AJ13"/>
  <c r="AJ16"/>
  <c r="AJ19"/>
  <c r="AJ22"/>
  <c r="AJ25"/>
  <c r="AJ28"/>
  <c r="AB24"/>
  <c r="AC22"/>
  <c r="AB21"/>
  <c r="AB12"/>
  <c r="AD15"/>
  <c r="AD29"/>
  <c r="R58"/>
  <c r="AB17"/>
  <c r="R21" s="1"/>
  <c r="AD12"/>
  <c r="AE24"/>
  <c r="R45"/>
  <c r="AB11"/>
  <c r="AB30"/>
  <c r="AD7"/>
  <c r="AD32"/>
  <c r="AB9"/>
  <c r="AB29"/>
  <c r="AE6"/>
  <c r="AD18"/>
  <c r="AD30"/>
  <c r="H5"/>
  <c r="E3"/>
  <c r="E4"/>
  <c r="K5"/>
  <c r="J5"/>
  <c r="AC21"/>
  <c r="AC29"/>
  <c r="AC10"/>
  <c r="AB19"/>
  <c r="AC28"/>
  <c r="AB10"/>
  <c r="AB18"/>
  <c r="AB28"/>
  <c r="AD3"/>
  <c r="AD10"/>
  <c r="AD17"/>
  <c r="AD24"/>
  <c r="AD31"/>
  <c r="AC9"/>
  <c r="AC17"/>
  <c r="R22" s="1"/>
  <c r="AC27"/>
  <c r="AE9"/>
  <c r="AE16"/>
  <c r="AE23"/>
  <c r="AE30"/>
  <c r="AA3"/>
  <c r="AB7"/>
  <c r="AC16"/>
  <c r="AB25"/>
  <c r="AD8"/>
  <c r="AE15"/>
  <c r="AE22"/>
  <c r="R28" s="1"/>
  <c r="AE29"/>
  <c r="AG9"/>
  <c r="AC5"/>
  <c r="AC15"/>
  <c r="AC23"/>
  <c r="AC33"/>
  <c r="AE21"/>
  <c r="AE28"/>
  <c r="AB5"/>
  <c r="AB15"/>
  <c r="AB23"/>
  <c r="AB33"/>
  <c r="AD6"/>
  <c r="AD13"/>
  <c r="AD21"/>
  <c r="AD28"/>
  <c r="AA33"/>
  <c r="AA27"/>
  <c r="Z26"/>
  <c r="AA21"/>
  <c r="Z20"/>
  <c r="AA15"/>
  <c r="Z14"/>
  <c r="AA9"/>
  <c r="Z32"/>
  <c r="Z8"/>
  <c r="Y33"/>
  <c r="X33"/>
  <c r="X20"/>
  <c r="Y17"/>
  <c r="Y32"/>
  <c r="X17"/>
  <c r="Y3"/>
  <c r="AG33"/>
  <c r="AG27"/>
  <c r="AG21"/>
  <c r="AF21"/>
  <c r="AF15"/>
  <c r="AF9"/>
  <c r="AF3"/>
  <c r="AF27"/>
  <c r="AF33"/>
  <c r="AG8"/>
  <c r="AG14"/>
  <c r="AG20"/>
  <c r="AG26"/>
  <c r="R34" s="1"/>
  <c r="AG32"/>
  <c r="AF8"/>
  <c r="AF14"/>
  <c r="AF20"/>
  <c r="AF26"/>
  <c r="R33" s="1"/>
  <c r="AF32"/>
  <c r="AG7"/>
  <c r="AG13"/>
  <c r="AG19"/>
  <c r="AG25"/>
  <c r="AG31"/>
  <c r="AF7"/>
  <c r="AF13"/>
  <c r="AF19"/>
  <c r="AF25"/>
  <c r="AF31"/>
  <c r="AG6"/>
  <c r="AG12"/>
  <c r="AG18"/>
  <c r="AG24"/>
  <c r="AG30"/>
  <c r="AF6"/>
  <c r="AF12"/>
  <c r="AF18"/>
  <c r="AF24"/>
  <c r="AF30"/>
  <c r="AG5"/>
  <c r="AG11"/>
  <c r="AG17"/>
  <c r="AG23"/>
  <c r="AG29"/>
  <c r="AF5"/>
  <c r="AF11"/>
  <c r="AF17"/>
  <c r="AF23"/>
  <c r="AF29"/>
  <c r="AG4"/>
  <c r="AG10"/>
  <c r="AG16"/>
  <c r="AG22"/>
  <c r="AG28"/>
  <c r="AF4"/>
  <c r="AF10"/>
  <c r="AF16"/>
  <c r="AF22"/>
  <c r="AE8"/>
  <c r="AE14"/>
  <c r="AE20"/>
  <c r="AE26"/>
  <c r="AE32"/>
  <c r="AE7"/>
  <c r="AE13"/>
  <c r="AE19"/>
  <c r="AE25"/>
  <c r="AC8"/>
  <c r="AC14"/>
  <c r="AC20"/>
  <c r="AC26"/>
  <c r="AC32"/>
  <c r="AB8"/>
  <c r="AB14"/>
  <c r="AB20"/>
  <c r="AB26"/>
  <c r="AB32"/>
  <c r="AC7"/>
  <c r="AC13"/>
  <c r="AC19"/>
  <c r="AC25"/>
  <c r="AC31"/>
  <c r="AC6"/>
  <c r="AC12"/>
  <c r="AC18"/>
  <c r="AC24"/>
  <c r="Z3"/>
  <c r="Z9"/>
  <c r="Z15"/>
  <c r="Z21"/>
  <c r="Z27"/>
  <c r="Z33"/>
  <c r="AA8"/>
  <c r="AA14"/>
  <c r="AA20"/>
  <c r="AA26"/>
  <c r="AA32"/>
  <c r="AA7"/>
  <c r="AA13"/>
  <c r="AA19"/>
  <c r="AA25"/>
  <c r="AA31"/>
  <c r="Z7"/>
  <c r="Z13"/>
  <c r="Z19"/>
  <c r="Z25"/>
  <c r="Z31"/>
  <c r="AA6"/>
  <c r="AA12"/>
  <c r="AA18"/>
  <c r="AA24"/>
  <c r="AA30"/>
  <c r="Z6"/>
  <c r="Z12"/>
  <c r="Z18"/>
  <c r="Z24"/>
  <c r="Z30"/>
  <c r="AA5"/>
  <c r="AA11"/>
  <c r="AA17"/>
  <c r="AA23"/>
  <c r="AA29"/>
  <c r="Z5"/>
  <c r="Z11"/>
  <c r="Z17"/>
  <c r="Z23"/>
  <c r="Z29"/>
  <c r="AA4"/>
  <c r="AA10"/>
  <c r="AA16"/>
  <c r="R16" s="1"/>
  <c r="AA22"/>
  <c r="AA28"/>
  <c r="Z4"/>
  <c r="Z10"/>
  <c r="Z16"/>
  <c r="R15" s="1"/>
  <c r="Z22"/>
  <c r="X32"/>
  <c r="Y29"/>
  <c r="Y15"/>
  <c r="Y14"/>
  <c r="X29"/>
  <c r="Y9"/>
  <c r="Y27"/>
  <c r="X15"/>
  <c r="Y8"/>
  <c r="Y26"/>
  <c r="X8"/>
  <c r="Y21"/>
  <c r="Y5"/>
  <c r="X21"/>
  <c r="X9"/>
  <c r="X27"/>
  <c r="X5"/>
  <c r="Y20"/>
  <c r="X14"/>
  <c r="X26"/>
  <c r="Y11"/>
  <c r="Y23"/>
  <c r="X11"/>
  <c r="X23"/>
  <c r="X3"/>
  <c r="Y7"/>
  <c r="Y13"/>
  <c r="Y19"/>
  <c r="Y25"/>
  <c r="Y31"/>
  <c r="X7"/>
  <c r="X13"/>
  <c r="X19"/>
  <c r="X25"/>
  <c r="X31"/>
  <c r="Y6"/>
  <c r="Y12"/>
  <c r="Y18"/>
  <c r="Y24"/>
  <c r="Y30"/>
  <c r="X6"/>
  <c r="X12"/>
  <c r="X18"/>
  <c r="X24"/>
  <c r="X30"/>
  <c r="Y4"/>
  <c r="Y10"/>
  <c r="Y16"/>
  <c r="Y22"/>
  <c r="Y28"/>
  <c r="X4"/>
  <c r="X10"/>
  <c r="X16"/>
  <c r="X22"/>
  <c r="W33"/>
  <c r="W10"/>
  <c r="W6"/>
  <c r="W9"/>
  <c r="W15"/>
  <c r="W21"/>
  <c r="W27"/>
  <c r="V6"/>
  <c r="V9"/>
  <c r="R3" s="1"/>
  <c r="V15"/>
  <c r="V21"/>
  <c r="V27"/>
  <c r="V33"/>
  <c r="W32"/>
  <c r="W28"/>
  <c r="V10"/>
  <c r="W20"/>
  <c r="V5"/>
  <c r="V8"/>
  <c r="V14"/>
  <c r="V20"/>
  <c r="V26"/>
  <c r="V32"/>
  <c r="W7"/>
  <c r="V22"/>
  <c r="W5"/>
  <c r="W8"/>
  <c r="W14"/>
  <c r="W26"/>
  <c r="W4"/>
  <c r="W13"/>
  <c r="W19"/>
  <c r="W25"/>
  <c r="W31"/>
  <c r="V28"/>
  <c r="V4"/>
  <c r="V13"/>
  <c r="V19"/>
  <c r="V25"/>
  <c r="V31"/>
  <c r="W30"/>
  <c r="W16"/>
  <c r="W3"/>
  <c r="W12"/>
  <c r="W24"/>
  <c r="V3"/>
  <c r="V12"/>
  <c r="V18"/>
  <c r="V24"/>
  <c r="V30"/>
  <c r="V7"/>
  <c r="W11"/>
  <c r="W17"/>
  <c r="W23"/>
  <c r="W29"/>
  <c r="W22"/>
  <c r="V16"/>
  <c r="W18"/>
  <c r="V11"/>
  <c r="V17"/>
  <c r="V23"/>
  <c r="D5" l="1"/>
  <c r="BF19" s="1"/>
  <c r="R9"/>
  <c r="J9" s="1"/>
  <c r="K9" s="1"/>
  <c r="J8"/>
  <c r="K8" s="1"/>
  <c r="L5"/>
  <c r="R46"/>
  <c r="J16"/>
  <c r="E5"/>
  <c r="K16"/>
  <c r="R4"/>
  <c r="R10"/>
  <c r="N9" l="1"/>
  <c r="N8"/>
  <c r="L8"/>
  <c r="R60"/>
  <c r="R61"/>
  <c r="J11"/>
  <c r="L11" s="1"/>
  <c r="L17" s="1"/>
  <c r="N11" l="1"/>
  <c r="BO19" s="1"/>
  <c r="J17"/>
  <c r="K20" s="1"/>
  <c r="K22" s="1"/>
  <c r="K17"/>
  <c r="B17" s="1"/>
  <c r="L7" l="1"/>
  <c r="I35"/>
  <c r="K19"/>
  <c r="K26" s="1"/>
  <c r="J30"/>
  <c r="J31" s="1"/>
  <c r="BJ31" l="1"/>
  <c r="I79"/>
  <c r="I83"/>
  <c r="B19"/>
  <c r="BE25"/>
  <c r="BF25" s="1"/>
  <c r="BG27"/>
  <c r="BE27"/>
  <c r="BE29"/>
  <c r="B20" l="1"/>
  <c r="B31"/>
  <c r="A28"/>
  <c r="A27"/>
  <c r="E31" l="1"/>
  <c r="A32" l="1"/>
  <c r="A23"/>
  <c r="BD32" l="1"/>
  <c r="BM37" s="1"/>
  <c r="BE32" l="1"/>
</calcChain>
</file>

<file path=xl/sharedStrings.xml><?xml version="1.0" encoding="utf-8"?>
<sst xmlns="http://schemas.openxmlformats.org/spreadsheetml/2006/main" count="376" uniqueCount="274">
  <si>
    <t>ml</t>
  </si>
  <si>
    <t>walter</t>
  </si>
  <si>
    <t>COPYRIGHT © 2017</t>
  </si>
  <si>
    <t>www.walter-lystfisker.dk</t>
  </si>
  <si>
    <t>Den specifikke massefylde af bærsaft er sat lig med den specifikke massefylde af vand, således at 1 gram juice fylder 1 ml. Dette er naturligvis en lille fejl i beregningen af alkoholprocenten.</t>
  </si>
  <si>
    <t>Sukker indeholder meget lidt vand, men det fylder (filler in sugar) i massen. Derfor bliver alkohol Vol.% mindre ved tilsætning af sukker. Husk, at der ikke er nogen gæringsproces til at danne alkoholen.</t>
  </si>
  <si>
    <t>%</t>
  </si>
  <si>
    <r>
      <t xml:space="preserve">Udarbejdet af Jørgen Walter </t>
    </r>
    <r>
      <rPr>
        <b/>
        <sz val="14"/>
        <color indexed="8"/>
        <rFont val="Arial"/>
        <family val="2"/>
      </rPr>
      <t>©</t>
    </r>
  </si>
  <si>
    <t>ABW = 0,1893 * ABV * ABV + 0,7918 * ABV + 0,0002</t>
  </si>
  <si>
    <t>ABV = (99823 * ABW) / (20923 * ABW + 78945)</t>
  </si>
  <si>
    <t>Appelsin</t>
  </si>
  <si>
    <t>Aroniabær</t>
  </si>
  <si>
    <t>Blåbær</t>
  </si>
  <si>
    <t>Brombær</t>
  </si>
  <si>
    <t>Figner rå</t>
  </si>
  <si>
    <t>Hasselnød</t>
  </si>
  <si>
    <t>Havtorn</t>
  </si>
  <si>
    <t>Hindbær</t>
  </si>
  <si>
    <t>Honning</t>
  </si>
  <si>
    <t>Hyben</t>
  </si>
  <si>
    <t>Jordbær</t>
  </si>
  <si>
    <t>Kirsebær</t>
  </si>
  <si>
    <t>Rabarber</t>
  </si>
  <si>
    <t>Ribs</t>
  </si>
  <si>
    <t>Rosin u. kerne</t>
  </si>
  <si>
    <t>Rønnebær</t>
  </si>
  <si>
    <t>Slåen</t>
  </si>
  <si>
    <t>Solbær</t>
  </si>
  <si>
    <t>Stikkelsbær</t>
  </si>
  <si>
    <t>Svesker rå</t>
  </si>
  <si>
    <t>Tranebær</t>
  </si>
  <si>
    <t>Tyttebær</t>
  </si>
  <si>
    <t>Valnød</t>
  </si>
  <si>
    <t>Vindruer</t>
  </si>
  <si>
    <t>Pære</t>
  </si>
  <si>
    <t>Æble</t>
  </si>
  <si>
    <t>Paradisæble</t>
  </si>
  <si>
    <t>Abrikos rå</t>
  </si>
  <si>
    <t xml:space="preserve">Abrikos tørret </t>
  </si>
  <si>
    <t>Kumquat</t>
  </si>
  <si>
    <t>Gram Vand</t>
  </si>
  <si>
    <t>Gram Sukker</t>
  </si>
  <si>
    <t>Blomme</t>
  </si>
  <si>
    <t>Vælg bær</t>
  </si>
  <si>
    <t>1. Bær Valgt</t>
  </si>
  <si>
    <t>2. Bær Valgt</t>
  </si>
  <si>
    <t>Gram</t>
  </si>
  <si>
    <t>Bær på listen</t>
  </si>
  <si>
    <t>3. Bær Valgt</t>
  </si>
  <si>
    <t>4. Bær Valgt</t>
  </si>
  <si>
    <t>5. Bær Valgt</t>
  </si>
  <si>
    <t>6. Bær Valgt</t>
  </si>
  <si>
    <t>Alkohol # 1</t>
  </si>
  <si>
    <t>Alkohol # 2</t>
  </si>
  <si>
    <t>Vand # 1</t>
  </si>
  <si>
    <t>Vand # 2</t>
  </si>
  <si>
    <t>Volumen</t>
  </si>
  <si>
    <t>Vand I alt:</t>
  </si>
  <si>
    <t>Alkohol I alt:</t>
  </si>
  <si>
    <t>Sukker:</t>
  </si>
  <si>
    <t>Honning:</t>
  </si>
  <si>
    <t>Glycerin 99,5% E422:</t>
  </si>
  <si>
    <t>g/cm³</t>
  </si>
  <si>
    <t>enhed</t>
  </si>
  <si>
    <t>I alt gram og volumen for blandingen:</t>
  </si>
  <si>
    <t xml:space="preserve">https://da.wikipedia.org/wiki/Glycerin </t>
  </si>
  <si>
    <t>ABV% = volumen alkohol / total volumen [%]</t>
  </si>
  <si>
    <t>ABW% = gram alkohol / total gram [%]</t>
  </si>
  <si>
    <t>Konstanter</t>
  </si>
  <si>
    <t>7. Bær Valgt</t>
  </si>
  <si>
    <t>8. Bær Valgt</t>
  </si>
  <si>
    <t>9. Bær Valgt</t>
  </si>
  <si>
    <t>10. Bær Valgt</t>
  </si>
  <si>
    <r>
      <t xml:space="preserve">Herunder kan vælges 10 forskellige bær i de </t>
    </r>
    <r>
      <rPr>
        <b/>
        <sz val="16"/>
        <color rgb="FF0070C0"/>
        <rFont val="Calibri"/>
        <family val="2"/>
        <scheme val="minor"/>
      </rPr>
      <t>blå</t>
    </r>
    <r>
      <rPr>
        <b/>
        <sz val="16"/>
        <color theme="1"/>
        <rFont val="Calibri"/>
        <family val="2"/>
        <scheme val="minor"/>
      </rPr>
      <t xml:space="preserve"> celler</t>
    </r>
  </si>
  <si>
    <t>Reg. Nr. 1600</t>
  </si>
  <si>
    <r>
      <rPr>
        <b/>
        <sz val="14"/>
        <color rgb="FF0070C0"/>
        <rFont val="Calibri"/>
        <family val="2"/>
        <scheme val="minor"/>
      </rPr>
      <t>Gram</t>
    </r>
    <r>
      <rPr>
        <sz val="14"/>
        <color theme="1"/>
        <rFont val="Calibri"/>
        <family val="2"/>
        <scheme val="minor"/>
      </rPr>
      <t xml:space="preserve"> vand i  alkohol # 1 og # 2:</t>
    </r>
  </si>
  <si>
    <r>
      <rPr>
        <b/>
        <sz val="14"/>
        <color rgb="FF0070C0"/>
        <rFont val="Calibri"/>
        <family val="2"/>
        <scheme val="minor"/>
      </rPr>
      <t>Gram</t>
    </r>
    <r>
      <rPr>
        <sz val="14"/>
        <color theme="1"/>
        <rFont val="Calibri"/>
        <family val="2"/>
        <scheme val="minor"/>
      </rPr>
      <t xml:space="preserve"> vand (juice) i de anvendte bær:</t>
    </r>
  </si>
  <si>
    <r>
      <rPr>
        <b/>
        <sz val="14"/>
        <color rgb="FF0070C0"/>
        <rFont val="Calibri"/>
        <family val="2"/>
        <scheme val="minor"/>
      </rPr>
      <t>Gram</t>
    </r>
    <r>
      <rPr>
        <sz val="14"/>
        <color theme="1"/>
        <rFont val="Calibri"/>
        <family val="2"/>
        <scheme val="minor"/>
      </rPr>
      <t xml:space="preserve"> sukker i de anvendte bær:</t>
    </r>
  </si>
  <si>
    <r>
      <rPr>
        <b/>
        <sz val="14"/>
        <color rgb="FF0070C0"/>
        <rFont val="Calibri"/>
        <family val="2"/>
        <scheme val="minor"/>
      </rPr>
      <t>Gram</t>
    </r>
    <r>
      <rPr>
        <sz val="14"/>
        <color theme="1"/>
        <rFont val="Calibri"/>
        <family val="2"/>
        <scheme val="minor"/>
      </rPr>
      <t xml:space="preserve"> vand tilsat:</t>
    </r>
  </si>
  <si>
    <r>
      <rPr>
        <b/>
        <sz val="14"/>
        <color rgb="FF0070C0"/>
        <rFont val="Calibri"/>
        <family val="2"/>
        <scheme val="minor"/>
      </rPr>
      <t>Gram</t>
    </r>
    <r>
      <rPr>
        <sz val="14"/>
        <color theme="1"/>
        <rFont val="Calibri"/>
        <family val="2"/>
        <scheme val="minor"/>
      </rPr>
      <t xml:space="preserve"> alkohol i alkohol # 1 og # 2:</t>
    </r>
  </si>
  <si>
    <r>
      <t xml:space="preserve">Samlet mængde i </t>
    </r>
    <r>
      <rPr>
        <b/>
        <sz val="14"/>
        <color rgb="FF0070C0"/>
        <rFont val="Calibri"/>
        <family val="2"/>
        <scheme val="minor"/>
      </rPr>
      <t>gram</t>
    </r>
    <r>
      <rPr>
        <sz val="14"/>
        <color theme="1"/>
        <rFont val="Calibri"/>
        <family val="2"/>
        <scheme val="minor"/>
      </rPr>
      <t xml:space="preserve"> og </t>
    </r>
    <r>
      <rPr>
        <b/>
        <sz val="14"/>
        <color theme="9" tint="-0.249977111117893"/>
        <rFont val="Calibri"/>
        <family val="2"/>
        <scheme val="minor"/>
      </rPr>
      <t>volumen</t>
    </r>
    <r>
      <rPr>
        <sz val="14"/>
        <color theme="1"/>
        <rFont val="Calibri"/>
        <family val="2"/>
        <scheme val="minor"/>
      </rPr>
      <t>:</t>
    </r>
  </si>
  <si>
    <t>J31</t>
  </si>
  <si>
    <t>J30</t>
  </si>
  <si>
    <r>
      <rPr>
        <b/>
        <sz val="14"/>
        <color rgb="FF0070C0"/>
        <rFont val="Calibri"/>
        <family val="2"/>
        <scheme val="minor"/>
      </rPr>
      <t>Gram</t>
    </r>
    <r>
      <rPr>
        <sz val="14"/>
        <color theme="1"/>
        <rFont val="Calibri"/>
        <family val="2"/>
        <scheme val="minor"/>
      </rPr>
      <t xml:space="preserve"> sukker tilsat:</t>
    </r>
  </si>
  <si>
    <r>
      <rPr>
        <b/>
        <sz val="14"/>
        <color rgb="FF0070C0"/>
        <rFont val="Calibri"/>
        <family val="2"/>
        <scheme val="minor"/>
      </rPr>
      <t>Gram</t>
    </r>
    <r>
      <rPr>
        <sz val="14"/>
        <color theme="1"/>
        <rFont val="Calibri"/>
        <family val="2"/>
        <scheme val="minor"/>
      </rPr>
      <t xml:space="preserve"> honning tilsat:</t>
    </r>
  </si>
  <si>
    <r>
      <rPr>
        <b/>
        <sz val="14"/>
        <color rgb="FF0070C0"/>
        <rFont val="Calibri"/>
        <family val="2"/>
        <scheme val="minor"/>
      </rPr>
      <t>Gram</t>
    </r>
    <r>
      <rPr>
        <sz val="14"/>
        <color theme="1"/>
        <rFont val="Calibri"/>
        <family val="2"/>
        <scheme val="minor"/>
      </rPr>
      <t xml:space="preserve"> Glycerin 99,5%, E422 tilsat:</t>
    </r>
  </si>
  <si>
    <t>gram = volumen for vand</t>
  </si>
  <si>
    <t>Sukker %</t>
  </si>
  <si>
    <t>Vand %</t>
  </si>
  <si>
    <t xml:space="preserve">https://vinguruen.dk/blogs/vin-leksikon/hvad-er-glycerin-en-almindeligt-anvendt-fugtgiver-i-vinindustrien </t>
  </si>
  <si>
    <t>Massefylde</t>
  </si>
  <si>
    <t xml:space="preserve"> gram sukker / liter</t>
  </si>
  <si>
    <t>Her er resultatet:</t>
  </si>
  <si>
    <t>Sukker skal tilsættes:</t>
  </si>
  <si>
    <r>
      <t xml:space="preserve">Hvis </t>
    </r>
    <r>
      <rPr>
        <b/>
        <sz val="14"/>
        <color rgb="FF0070C0"/>
        <rFont val="Calibri"/>
        <family val="2"/>
        <scheme val="minor"/>
      </rPr>
      <t>Celle J31</t>
    </r>
    <r>
      <rPr>
        <sz val="14"/>
        <color theme="1"/>
        <rFont val="Calibri"/>
        <family val="2"/>
        <scheme val="minor"/>
      </rPr>
      <t xml:space="preserve"> er negativ, er der et overskud af sukker i likøren</t>
    </r>
  </si>
  <si>
    <t>Indsæt gram bær</t>
  </si>
  <si>
    <t>De bær, som du vælger i de blå celler, skal vægten i gram indføres i de gule celler. I alle de andre ubrugte gule celler indtast 0.</t>
  </si>
  <si>
    <r>
      <t xml:space="preserve">Lav en </t>
    </r>
    <r>
      <rPr>
        <b/>
        <sz val="14"/>
        <color rgb="FFFF0000"/>
        <rFont val="Calibri"/>
        <family val="2"/>
        <scheme val="minor"/>
      </rPr>
      <t>"Hvad nu hvis-analyse"</t>
    </r>
    <r>
      <rPr>
        <sz val="14"/>
        <color theme="1"/>
        <rFont val="Calibri"/>
        <family val="2"/>
        <scheme val="minor"/>
      </rPr>
      <t xml:space="preserve"> vedrørende Celle </t>
    </r>
    <r>
      <rPr>
        <b/>
        <sz val="14"/>
        <color rgb="FF0070C0"/>
        <rFont val="Calibri"/>
        <family val="2"/>
        <scheme val="minor"/>
      </rPr>
      <t>J30</t>
    </r>
    <r>
      <rPr>
        <sz val="14"/>
        <color theme="1"/>
        <rFont val="Calibri"/>
        <family val="2"/>
        <scheme val="minor"/>
      </rPr>
      <t xml:space="preserve"> og sukker i Celler </t>
    </r>
    <r>
      <rPr>
        <b/>
        <sz val="14"/>
        <color theme="9" tint="-0.249977111117893"/>
        <rFont val="Calibri"/>
        <family val="2"/>
        <scheme val="minor"/>
      </rPr>
      <t>B8 til B11</t>
    </r>
  </si>
  <si>
    <t>1. Bær        Gram Bær</t>
  </si>
  <si>
    <t>2. Bær        Gram Bær</t>
  </si>
  <si>
    <t>3. Bær        Gram Bær</t>
  </si>
  <si>
    <t>4. Bær        Gram Bær</t>
  </si>
  <si>
    <t>5. Bær        Gram Bær</t>
  </si>
  <si>
    <t>6. Bær        Gram Bær</t>
  </si>
  <si>
    <t>7. Bær        Gram Bær</t>
  </si>
  <si>
    <t>8. Bær        Gram Bær</t>
  </si>
  <si>
    <t>9. Bær        Gram Bær</t>
  </si>
  <si>
    <t>10. Bær        Gram Bær</t>
  </si>
  <si>
    <t>Estimeret effektivitet af bærudnyttelse</t>
  </si>
  <si>
    <t>Normalt område</t>
  </si>
  <si>
    <t xml:space="preserve">I alt </t>
  </si>
  <si>
    <t xml:space="preserve"> gram</t>
  </si>
  <si>
    <t>Go' Bryg!</t>
  </si>
  <si>
    <t xml:space="preserve"> ABW%</t>
  </si>
  <si>
    <t xml:space="preserve">  ABV%</t>
  </si>
  <si>
    <t>Glycerins 99,5% sødeeffekt er 26 gange sukker</t>
  </si>
  <si>
    <t>Sirup lys:</t>
  </si>
  <si>
    <r>
      <rPr>
        <b/>
        <sz val="14"/>
        <color rgb="FF0070C0"/>
        <rFont val="Calibri"/>
        <family val="2"/>
        <scheme val="minor"/>
      </rPr>
      <t>Gram</t>
    </r>
    <r>
      <rPr>
        <sz val="14"/>
        <color theme="1"/>
        <rFont val="Calibri"/>
        <family val="2"/>
        <scheme val="minor"/>
      </rPr>
      <t xml:space="preserve"> Sirup lys tilsat:</t>
    </r>
  </si>
  <si>
    <t xml:space="preserve"> ml  </t>
  </si>
  <si>
    <t>Blandingens samlede volumen kommer automatisk frem i Celle B17.</t>
  </si>
  <si>
    <t>Anslået effektivitet af Bær-udnyttelsesknappen på datavalidering herunder.</t>
  </si>
  <si>
    <t>Her under laver jeg en tilnærmelse ved at sætte 1 gram juice svarende til 1 ml juice.</t>
  </si>
  <si>
    <t>g / l</t>
  </si>
  <si>
    <t>Indhold af sødemidler:</t>
  </si>
  <si>
    <t>Men husk, at massen er konstant: 1 cm³ vand ved 4 ⁰C vejer 1 gram både ved 0 og 100 grader.</t>
  </si>
  <si>
    <t>Ved 0 grader fylder vand 1,000739 ml og ved 100 grader fylder vand 1,042424 ml.</t>
  </si>
  <si>
    <t>Derimod får det ingen indflydelse på ABW% fordi massen er konstant.</t>
  </si>
  <si>
    <t>Med venlig hilsen og</t>
  </si>
  <si>
    <r>
      <t>Anslået effektivitet af</t>
    </r>
    <r>
      <rPr>
        <b/>
        <sz val="14"/>
        <color theme="1"/>
        <rFont val="Calibri"/>
        <family val="2"/>
        <scheme val="minor"/>
      </rPr>
      <t xml:space="preserve"> </t>
    </r>
    <r>
      <rPr>
        <b/>
        <i/>
        <sz val="14"/>
        <color rgb="FFFF0000"/>
        <rFont val="Calibri"/>
        <family val="2"/>
        <scheme val="minor"/>
      </rPr>
      <t>Bærudnyttelsesknappen</t>
    </r>
    <r>
      <rPr>
        <sz val="14"/>
        <color theme="1"/>
        <rFont val="Calibri"/>
        <family val="2"/>
        <scheme val="minor"/>
      </rPr>
      <t xml:space="preserve"> sættes fra start på</t>
    </r>
    <r>
      <rPr>
        <b/>
        <sz val="14"/>
        <color rgb="FFFF0000"/>
        <rFont val="Calibri"/>
        <family val="2"/>
        <scheme val="minor"/>
      </rPr>
      <t xml:space="preserve"> 100%</t>
    </r>
    <r>
      <rPr>
        <sz val="14"/>
        <color theme="1"/>
        <rFont val="Calibri"/>
        <family val="2"/>
        <scheme val="minor"/>
      </rPr>
      <t xml:space="preserve">. </t>
    </r>
  </si>
  <si>
    <t>Beregnet Volumen</t>
  </si>
  <si>
    <t>Bær udnyttelse i %</t>
  </si>
  <si>
    <t>Du fortsætter ovenstående interpolation indtil du har opnået (næsten) samme resultat:</t>
  </si>
  <si>
    <t>Hvis værdierne er ens (næsten) er beregningen tilendebragt og ABV% aflæses igen.</t>
  </si>
  <si>
    <r>
      <t>Når du har filtreret din</t>
    </r>
    <r>
      <rPr>
        <i/>
        <sz val="14"/>
        <color theme="1"/>
        <rFont val="Calibri"/>
        <family val="2"/>
        <scheme val="minor"/>
      </rPr>
      <t xml:space="preserve"> "Kryddersnaps"</t>
    </r>
    <r>
      <rPr>
        <sz val="14"/>
        <color theme="1"/>
        <rFont val="Calibri"/>
        <family val="2"/>
        <scheme val="minor"/>
      </rPr>
      <t xml:space="preserve"> måler du total volumen og indsætter værdien i B18.</t>
    </r>
  </si>
  <si>
    <t>Er dette opfyldt her?</t>
  </si>
  <si>
    <t>er disse to tal lige store?</t>
  </si>
  <si>
    <t>Anvendt Alkohol</t>
  </si>
  <si>
    <t>Brand</t>
  </si>
  <si>
    <t>Hvad vil du lave?</t>
  </si>
  <si>
    <t>RomTopf</t>
  </si>
  <si>
    <t>Kryddersnaps</t>
  </si>
  <si>
    <t>Vodka 37,5 %</t>
  </si>
  <si>
    <t>Dette Excel regneark for:</t>
  </si>
  <si>
    <t>er udarbejdet af:</t>
  </si>
  <si>
    <t>Kære</t>
  </si>
  <si>
    <t>Du har valgt følgende bær og antal gram for din</t>
  </si>
  <si>
    <t>medlem,</t>
  </si>
  <si>
    <t xml:space="preserve"> gram bær bestående af:</t>
  </si>
  <si>
    <t>Din</t>
  </si>
  <si>
    <t>ABV%:</t>
  </si>
  <si>
    <t>ABW%:</t>
  </si>
  <si>
    <t>*Glycerin er en tyktflydende, sød smagende væske, som ofte bruges i vinindustrien til at forbedre vins mundfølelse og give den en vis sødme uden at påvirke balancen af andre smagskomponenter.</t>
  </si>
  <si>
    <t>*Glycerin 99,5% E422:</t>
  </si>
  <si>
    <t>Akvavit Taffel 45 %</t>
  </si>
  <si>
    <t>Bland alkohol # 1 -- bær -- alkohol # 2</t>
  </si>
  <si>
    <t>Gin 40 %</t>
  </si>
  <si>
    <t>Finsprit 96 %</t>
  </si>
  <si>
    <t>Brøndum klar 40 %</t>
  </si>
  <si>
    <t>Vodka 40 %</t>
  </si>
  <si>
    <t>Whisky 40 %</t>
  </si>
  <si>
    <t>Vol.%</t>
  </si>
  <si>
    <t>Likør</t>
  </si>
  <si>
    <t>ABV%</t>
  </si>
  <si>
    <t>For at komme frem til sit ønske om RomTopf,</t>
  </si>
  <si>
    <t>ABV% (K19) og sukker g/l (J30)</t>
  </si>
  <si>
    <t>Tre til fire gange på hver er normal.</t>
  </si>
  <si>
    <t>Bærrene indeholder også sukker (fruktose, glukose og saccharose), som sammen med tilsat sukker giver sødmen.</t>
  </si>
  <si>
    <r>
      <t xml:space="preserve">Din ABV %, kan du justere ved at bruge mere Rom eller en stærkere Rom. Indsæt dine tal og aflæs den omtrentlige Vol.%  alkohol. </t>
    </r>
    <r>
      <rPr>
        <sz val="14"/>
        <color rgb="FFFF0000"/>
        <rFont val="Calibri"/>
        <family val="2"/>
        <scheme val="minor"/>
      </rPr>
      <t>Skal helst være over 22 Vol.% gerne 28 Vol.%, hvis du spørger mig.</t>
    </r>
  </si>
  <si>
    <t>INFO:</t>
  </si>
  <si>
    <t>https://www.handymath.com/cgi-bin/ethnlwateradj2.cgi?convstvol=mL&amp;convadjvol=mL&amp;convfnlvol=mL&amp;qnty=500&amp;stconc=90&amp;adjconc=&amp;fnlconc=40&amp;submit=Reset&amp;volwght=Volume</t>
  </si>
  <si>
    <t xml:space="preserve">https://alcohol.stackexchange.com/questions/1064/by-volume-by-weight-conversion-formula#:~:text=If%20abv%20is%20the%20alcohol-by-volume%20value%20expressed%20as%20a%20number </t>
  </si>
  <si>
    <t>Så blev din bryg:</t>
  </si>
  <si>
    <t>fremover vil få glæde af mit Excel Regneark. Del det gerne med dine venner i "Lauget".</t>
  </si>
  <si>
    <t>Vodka 70%</t>
  </si>
  <si>
    <t>Vodka 88%</t>
  </si>
  <si>
    <t>Vodka 38 %</t>
  </si>
  <si>
    <t>Vand 0%</t>
  </si>
  <si>
    <t>To Alkoholer</t>
  </si>
  <si>
    <t>Beregning af alkoholprocenten ved 20 °C i en Kryddersnaps  tilsat alkohol, bær og sødemidler.</t>
  </si>
  <si>
    <t>Beregning af alkoholprocenten ved 20 °C i en Likør  tilsat alkohol, bær og sødemidler.</t>
  </si>
  <si>
    <t>Beregning af alkoholprocenten ved 20 °C i en RomTopf  tilsat alkohol, bær og sødemidler.</t>
  </si>
  <si>
    <t>Beregning af alkoholprocenten ved 20 °C ved at blande To Alkoholer. Eller Alkohol og Vand</t>
  </si>
  <si>
    <t>Blandings resultatet:</t>
  </si>
  <si>
    <t>Ønskes tilsat sødemidler skal disse indsættes i gram i de gule celler. Ellers indsæt 0</t>
  </si>
  <si>
    <t>Din Favorit Snaps %</t>
  </si>
  <si>
    <r>
      <t xml:space="preserve">Bruges ikke til RomTopf og To Alkoholer, men kun til  </t>
    </r>
    <r>
      <rPr>
        <b/>
        <sz val="14"/>
        <color rgb="FFFF0000"/>
        <rFont val="Calibri"/>
        <family val="2"/>
        <scheme val="minor"/>
      </rPr>
      <t>Kryddersnaps og Likør</t>
    </r>
  </si>
  <si>
    <t>Datavalidering tast</t>
  </si>
  <si>
    <t>Stroh 40%</t>
  </si>
  <si>
    <t>Stroh 60%</t>
  </si>
  <si>
    <t>Stroh 80%</t>
  </si>
  <si>
    <t>Tilsat sødemidler</t>
  </si>
  <si>
    <t>Skriv herunder navnet på det, du vil lave</t>
  </si>
  <si>
    <t>til fremstilling af:</t>
  </si>
  <si>
    <t>til blanding af:</t>
  </si>
  <si>
    <t>Du har valgt at lave:</t>
  </si>
  <si>
    <t>gram</t>
  </si>
  <si>
    <t>gram sødemidler</t>
  </si>
  <si>
    <t>PS: Man må gerne give "Feedback" på min hjemmeside.</t>
  </si>
  <si>
    <t>Info: ABV% (Alcohol By Volume %) og ABW% (Alcohol By Weight %)</t>
  </si>
  <si>
    <t>færdig og jeg håber, den vil smage dig vel og du</t>
  </si>
  <si>
    <t>Din RomTopf fylder:</t>
  </si>
  <si>
    <t>Da du laver en Kryddersnaps, skal du måle volumen efter den er siet:</t>
  </si>
  <si>
    <t>Da du laver en Likør, skal du måle volumen efter den er siet:</t>
  </si>
  <si>
    <t>To Alkoholer blandes (måske er # 2 vand,) giver følgende volumen:</t>
  </si>
  <si>
    <t xml:space="preserve">Du er velkommen til at benytte dette "Excel Regneark" </t>
  </si>
  <si>
    <t>Der er brugt følgende mængder af alkohol:</t>
  </si>
  <si>
    <t>Kryddersnaps og Likør skal helst være over 22 Vol.% gerne 28 Vol.%, hvis du spørger mig. Det er</t>
  </si>
  <si>
    <t>mest for holdbarheden. En RomTopf skal være mindst 28 Vol.%, for den er mest udsat for luftens</t>
  </si>
  <si>
    <t>"Flyvende Vildgærceller". Det kan medføre en gæring med ilt og dermed danne eddike. Jeg går efter</t>
  </si>
  <si>
    <t>målet og vil spæde op med Finsprit 96 Vol.% og lidt *Glycerin 99,5% E422 for sødme uden fylde.</t>
  </si>
  <si>
    <t>Valg af sødemiddel i gram til</t>
  </si>
  <si>
    <t>Datavalidering</t>
  </si>
  <si>
    <t>Valg af sødemiddel i</t>
  </si>
  <si>
    <r>
      <t xml:space="preserve">Bestem et sødemiddel i cellerne </t>
    </r>
    <r>
      <rPr>
        <b/>
        <sz val="14"/>
        <color rgb="FFFF0000"/>
        <rFont val="Calibri"/>
        <family val="2"/>
        <scheme val="minor"/>
      </rPr>
      <t>B8 til B11</t>
    </r>
    <r>
      <rPr>
        <sz val="14"/>
        <color theme="1"/>
        <rFont val="Calibri"/>
        <family val="2"/>
        <scheme val="minor"/>
      </rPr>
      <t xml:space="preserve">, der skal tilsættes, hvis </t>
    </r>
    <r>
      <rPr>
        <b/>
        <sz val="14"/>
        <color rgb="FF0070C0"/>
        <rFont val="Calibri"/>
        <family val="2"/>
        <scheme val="minor"/>
      </rPr>
      <t>Celle J30</t>
    </r>
    <r>
      <rPr>
        <sz val="14"/>
        <color theme="1"/>
        <rFont val="Calibri"/>
        <family val="2"/>
        <scheme val="minor"/>
      </rPr>
      <t xml:space="preserve"> ikke er</t>
    </r>
  </si>
  <si>
    <r>
      <rPr>
        <b/>
        <sz val="14"/>
        <color theme="1"/>
        <rFont val="Calibri"/>
        <family val="2"/>
        <scheme val="minor"/>
      </rPr>
      <t>Bemærk:</t>
    </r>
    <r>
      <rPr>
        <sz val="14"/>
        <color theme="1"/>
        <rFont val="Calibri"/>
        <family val="2"/>
        <scheme val="minor"/>
      </rPr>
      <t xml:space="preserve"> Bær udnyttelses % i Celle B19 falder, fordi vi kommer mere "Væske" og Sødemiddel på. Normalt.</t>
    </r>
  </si>
  <si>
    <t xml:space="preserve">Indhold af  Sødme: </t>
  </si>
  <si>
    <t xml:space="preserve">https://www.food.dtu.dk/-/media/Institutter/Foedevareinstituttet/Publikationer/Pub-2010/Den-lille-Levnedsmiddeltabel-4-udgave.ashx?la=da&amp;hash=4A2D6BE36E9AA467C68437BFD0C7B284ED75EE84 </t>
  </si>
  <si>
    <t>Bærudnyttelses Procenten max. Værdi</t>
  </si>
  <si>
    <t>Bærudnyttelses Procenten min. Værdi</t>
  </si>
  <si>
    <t xml:space="preserve"> </t>
  </si>
  <si>
    <t>Vand procent [ % ]</t>
  </si>
  <si>
    <t>Sukker       procent [ % ]</t>
  </si>
  <si>
    <t>Kun for information.           Kan bruges til omregning mellem ABV% og ABW%</t>
  </si>
  <si>
    <t>"Hvad hvis-analyse" m.h.t. ABV% og Sødme %. Men hvis du er tilfreds med smagen, så stop her.</t>
  </si>
  <si>
    <t>"Hvad hvis-analyse" m.h.t. ABV% 35% giver 134 ml Finsprit 96 Vol.%.</t>
  </si>
  <si>
    <t>skal man lave flere "Hvad hvis-analyse" på</t>
  </si>
  <si>
    <t>Når temperaturen stiger i vand fra 4 ⁰C vil rumfanget også stige og dermed vil massefylden falde.</t>
  </si>
  <si>
    <t>Når temperaturen falder i vand fra 4 ⁰C vil rumfanget også stige og dermed vil massefylden falde.</t>
  </si>
  <si>
    <r>
      <rPr>
        <b/>
        <sz val="14"/>
        <color theme="1"/>
        <rFont val="Calibri"/>
        <family val="2"/>
        <scheme val="minor"/>
      </rPr>
      <t>Udskriv resultaterne:</t>
    </r>
    <r>
      <rPr>
        <sz val="14"/>
        <color theme="1"/>
        <rFont val="Calibri"/>
        <family val="2"/>
        <scheme val="minor"/>
      </rPr>
      <t xml:space="preserve"> Gå helt op til venstre til "Office-knappen" og tast "Udskriv"  </t>
    </r>
  </si>
  <si>
    <t>Regnearket er beskyttet med adgangskode, så du ikke ved et uheld sletter noget.</t>
  </si>
  <si>
    <t>I Celle F43 har du sat dine mål og nu skal du se efter, om de er opnået. Hvis ikke skal du lave flere</t>
  </si>
  <si>
    <t>"Hvad hvis-analyse" m.h.t. Sødme 3% giver 2 gram sukker. Det blev ikke Glycerin (2/26 = 0,08 gram)</t>
  </si>
  <si>
    <t xml:space="preserve">Alkohol # 1 </t>
  </si>
  <si>
    <t xml:space="preserve"> Alkohol # 2</t>
  </si>
  <si>
    <t>Jeg kan indsætte flere bær / frugter ovenfor, hvis jeg får data for disse</t>
  </si>
  <si>
    <t>RomTopf To Alkoholer</t>
  </si>
  <si>
    <t>Kryddersnaps Likør</t>
  </si>
  <si>
    <r>
      <t xml:space="preserve">Temperatur </t>
    </r>
    <r>
      <rPr>
        <sz val="12"/>
        <rFont val="Calibri"/>
        <family val="2"/>
      </rPr>
      <t>°C</t>
    </r>
  </si>
  <si>
    <t>Density</t>
  </si>
  <si>
    <t xml:space="preserve"> ⁰C</t>
  </si>
  <si>
    <t>Hvorfor nævner jeg dette, Jo! For det får en lille indflydelse på ABV%.</t>
  </si>
  <si>
    <t>Husk, når man blander To Alkoholer SKAL alle gule Celler for bær, sødemidler og tilsat vand være 0.</t>
  </si>
  <si>
    <t>Når du udskriver siden, skal du måske indstille din Printer?</t>
  </si>
  <si>
    <t>Ændrer sig ikke med temperaturen</t>
  </si>
  <si>
    <t>Ændrer sig med temperaturen</t>
  </si>
  <si>
    <r>
      <rPr>
        <b/>
        <sz val="14"/>
        <color theme="1"/>
        <rFont val="Calibri"/>
        <family val="2"/>
        <scheme val="minor"/>
      </rPr>
      <t>Brugervejledning:</t>
    </r>
    <r>
      <rPr>
        <sz val="14"/>
        <color theme="1"/>
        <rFont val="Calibri"/>
        <family val="2"/>
        <scheme val="minor"/>
      </rPr>
      <t xml:space="preserve"> Det er vigtigt, at gennemgå alle gule Celler inden man begynder, da det kun er disse, som kan og skal ændres. De andre celler er Password beskyttet med et kodeord, så man ikke sletter </t>
    </r>
  </si>
  <si>
    <t>noget uforvarende. Brug af regnearket skal naturligvis tages med en vis grad af forsigtighed. Den angivne mængde vand og sukker i bærrene kan naturligvis variere og om alt vand og sukker kommer ud</t>
  </si>
  <si>
    <t>af bærrene, er også en usikkerhedsfaktor. I de gule felter tilføjes vægten i gram af de anvendte bær. Er der nogle bær, der ikke bruges indtastes 0 i "Gram Cellen". Hvis kun få bær bruges til en Kryddersnaps,</t>
  </si>
  <si>
    <t>Vand bruges, hvis man  vil opløse sukkeret i varmt vand eller vil fortynde en 96% Finsprit. I Cellen A7 kan man indtaste Vol.% på ens Favorit Alkohol. Eller en anden alkohol %.</t>
  </si>
  <si>
    <t xml:space="preserve">vil det være en fordel, at starte øverst ved "1. Bær Valgt" og så gå videre der ned ad. Er der ikke brugt sødemidler eller vand indtast 0. </t>
  </si>
  <si>
    <t>Vigtig information om RomTopf:</t>
  </si>
  <si>
    <t>Når man laver RomTopf, er det vigtigt at huske på, at bærrene skal bruges og derfor ikke bliver siet fra. Så volumen der bliver beregnet</t>
  </si>
  <si>
    <t>Når man blander To Alkoholer, er det vigtigt at huske på, at bær, sødemidler og vand skal være 0, så volumen der bliver beregnet</t>
  </si>
  <si>
    <t xml:space="preserve"> ml, er væsken uden bær. Hvor meget bærrene fylder ved jeg ikke,</t>
  </si>
  <si>
    <t xml:space="preserve"> ml, er værdien af de to alkoholer adderet.</t>
  </si>
  <si>
    <r>
      <rPr>
        <b/>
        <sz val="16"/>
        <color rgb="FFFF0000"/>
        <rFont val="Calibri"/>
        <family val="2"/>
        <scheme val="minor"/>
      </rPr>
      <t>Azeotrop alkohol:</t>
    </r>
    <r>
      <rPr>
        <sz val="14"/>
        <color theme="1"/>
        <rFont val="Calibri"/>
        <family val="2"/>
        <scheme val="minor"/>
      </rPr>
      <t xml:space="preserve"> I kemien en blanding af væsker, som kan destilleres med uændret sammensætning og konstant kogepunkt. Destillation medfører derfor ikke som sædvanligt nogen adskillelse af væskerne i blandingen.</t>
    </r>
  </si>
  <si>
    <r>
      <t xml:space="preserve">da jeg aldrig har målt på disse bær. Derfor skal man beregne sin RomPot krukke noget større end angivet her. Husk at </t>
    </r>
    <r>
      <rPr>
        <sz val="14"/>
        <color rgb="FFFF0000"/>
        <rFont val="Calibri"/>
        <family val="2"/>
        <scheme val="minor"/>
      </rPr>
      <t>"Datavalidering tast"</t>
    </r>
    <r>
      <rPr>
        <sz val="14"/>
        <color theme="1"/>
        <rFont val="Calibri"/>
        <family val="2"/>
        <scheme val="minor"/>
      </rPr>
      <t xml:space="preserve"> i B23 skal stå på 100% fra start.</t>
    </r>
  </si>
  <si>
    <r>
      <t xml:space="preserve">Det skal nævnes, at det kun gælder for alkohol under ABV 96%, det som man kalde Finsprit. Alkohol fra ABV 96% til ABV 100% er en Azeotropisk alkohol. Husk at </t>
    </r>
    <r>
      <rPr>
        <sz val="14"/>
        <color rgb="FFFF0000"/>
        <rFont val="Calibri"/>
        <family val="2"/>
        <scheme val="minor"/>
      </rPr>
      <t>"Datavalidering tast"</t>
    </r>
    <r>
      <rPr>
        <sz val="14"/>
        <color theme="1"/>
        <rFont val="Calibri"/>
        <family val="2"/>
        <scheme val="minor"/>
      </rPr>
      <t xml:space="preserve"> i B23 skal stå på 100% fra start.</t>
    </r>
  </si>
  <si>
    <r>
      <t xml:space="preserve">Husk, når man laver Kryddersnaps og Likør skal Celle B23 stå på </t>
    </r>
    <r>
      <rPr>
        <b/>
        <sz val="14"/>
        <color rgb="FFFF0000"/>
        <rFont val="Calibri"/>
        <family val="2"/>
        <scheme val="minor"/>
      </rPr>
      <t>100 % fra start</t>
    </r>
    <r>
      <rPr>
        <sz val="14"/>
        <color theme="1"/>
        <rFont val="Calibri"/>
        <family val="2"/>
        <scheme val="minor"/>
      </rPr>
      <t>. Følg ellers vejledningen under "Datavalidering tasten". Se også</t>
    </r>
    <r>
      <rPr>
        <sz val="16"/>
        <color theme="1"/>
        <rFont val="Calibri"/>
        <family val="2"/>
        <scheme val="minor"/>
      </rPr>
      <t xml:space="preserve"> </t>
    </r>
    <r>
      <rPr>
        <sz val="16"/>
        <color rgb="FFFF0000"/>
        <rFont val="Calibri"/>
        <family val="2"/>
        <scheme val="minor"/>
      </rPr>
      <t>IN</t>
    </r>
    <r>
      <rPr>
        <sz val="14"/>
        <color rgb="FFFF0000"/>
        <rFont val="Calibri"/>
        <family val="2"/>
        <scheme val="minor"/>
      </rPr>
      <t>FO</t>
    </r>
    <r>
      <rPr>
        <sz val="14"/>
        <color theme="1"/>
        <rFont val="Calibri"/>
        <family val="2"/>
        <scheme val="minor"/>
      </rPr>
      <t xml:space="preserve"> nedenfor.</t>
    </r>
  </si>
  <si>
    <t>Målt Volumen (Hel tal)</t>
  </si>
  <si>
    <t>Updated 19-12-2024 Version 001</t>
  </si>
  <si>
    <t>Vigtig information om To Alkoholer:</t>
  </si>
  <si>
    <t xml:space="preserve"> En teknisk betydningsfuld er en azeotropisk blanding indeholdende 96 % ethanol og 4 % vand. Som et kuriosum  kan jeg nævne, at hvis man blander 100 ml ABV 100% alkohol og 4 ml vand, får man kun 100 ml alkohol ABV 96%.</t>
  </si>
  <si>
    <t>Det skyldes, at de små vand molekyler gemmer sig blandt de store alkohol molekyler og først, når alt tomrum mellem alkohol molekylerne er fyldt ud, vil væske standen (volumen) stige.</t>
  </si>
  <si>
    <t>⁰C</t>
  </si>
  <si>
    <t>Temp. for "vand"</t>
  </si>
  <si>
    <t>Temp. For "vand"</t>
  </si>
  <si>
    <t>For alkohol</t>
  </si>
  <si>
    <t xml:space="preserve">g/ml  g/cm³ ved </t>
  </si>
  <si>
    <t>Vand</t>
  </si>
  <si>
    <t>Alkohol 100 Vol.% og vand massefylde:</t>
  </si>
  <si>
    <t>gange sukker</t>
  </si>
  <si>
    <r>
      <t xml:space="preserve">Husk værdierne gælder for 20 </t>
    </r>
    <r>
      <rPr>
        <sz val="12"/>
        <color rgb="FFFF0000"/>
        <rFont val="Calibri"/>
        <family val="2"/>
      </rPr>
      <t>⁰C "vand"</t>
    </r>
  </si>
  <si>
    <t>Hindbær Snaps før bærrene er siet fra og sødemidler tilsat</t>
  </si>
</sst>
</file>

<file path=xl/styles.xml><?xml version="1.0" encoding="utf-8"?>
<styleSheet xmlns="http://schemas.openxmlformats.org/spreadsheetml/2006/main">
  <numFmts count="7">
    <numFmt numFmtId="164" formatCode="0.0%"/>
    <numFmt numFmtId="165" formatCode="_ * #,##0.000_ ;_ * \-#,##0.000_ ;_ * &quot;-&quot;???_ ;_ @_ "/>
    <numFmt numFmtId="166" formatCode="0.000"/>
    <numFmt numFmtId="167" formatCode="0.0"/>
    <numFmt numFmtId="168" formatCode="0_ ;[Red]\-0\ "/>
    <numFmt numFmtId="169" formatCode="0.0000000"/>
    <numFmt numFmtId="170" formatCode="0.000%"/>
  </numFmts>
  <fonts count="48">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u/>
      <sz val="11"/>
      <color theme="10"/>
      <name val="Calibri"/>
      <family val="2"/>
    </font>
    <font>
      <b/>
      <sz val="14"/>
      <color rgb="FFFF0000"/>
      <name val="Calibri"/>
      <family val="2"/>
      <scheme val="minor"/>
    </font>
    <font>
      <sz val="11"/>
      <color theme="1"/>
      <name val="Arial"/>
      <family val="2"/>
    </font>
    <font>
      <b/>
      <sz val="14"/>
      <color theme="1"/>
      <name val="Arial"/>
      <family val="2"/>
    </font>
    <font>
      <sz val="14"/>
      <color theme="1"/>
      <name val="Calibri"/>
      <family val="2"/>
      <scheme val="minor"/>
    </font>
    <font>
      <b/>
      <sz val="14"/>
      <color theme="1"/>
      <name val="Calibri"/>
      <family val="2"/>
      <scheme val="minor"/>
    </font>
    <font>
      <u/>
      <sz val="14"/>
      <color theme="10"/>
      <name val="Calibri"/>
      <family val="2"/>
    </font>
    <font>
      <sz val="12"/>
      <color rgb="FFFF0000"/>
      <name val="Arial"/>
      <family val="2"/>
    </font>
    <font>
      <sz val="14"/>
      <color rgb="FFFF0000"/>
      <name val="Calibri"/>
      <family val="2"/>
      <scheme val="minor"/>
    </font>
    <font>
      <sz val="14"/>
      <name val="Calibri"/>
      <family val="2"/>
      <scheme val="minor"/>
    </font>
    <font>
      <sz val="12"/>
      <name val="Arial"/>
      <family val="2"/>
    </font>
    <font>
      <b/>
      <sz val="14"/>
      <color rgb="FFFF0000"/>
      <name val="Arial"/>
      <family val="2"/>
    </font>
    <font>
      <sz val="12"/>
      <name val="Calibri"/>
      <family val="2"/>
      <scheme val="minor"/>
    </font>
    <font>
      <sz val="14"/>
      <name val="Arial"/>
      <family val="2"/>
    </font>
    <font>
      <b/>
      <sz val="12"/>
      <color rgb="FF00B050"/>
      <name val="Arial"/>
      <family val="2"/>
    </font>
    <font>
      <b/>
      <sz val="14"/>
      <color indexed="8"/>
      <name val="Arial"/>
      <family val="2"/>
    </font>
    <font>
      <u/>
      <sz val="14"/>
      <color theme="10"/>
      <name val="Arial"/>
      <family val="2"/>
    </font>
    <font>
      <b/>
      <sz val="16"/>
      <color theme="1"/>
      <name val="Calibri"/>
      <family val="2"/>
      <scheme val="minor"/>
    </font>
    <font>
      <b/>
      <sz val="14"/>
      <color theme="9" tint="-0.249977111117893"/>
      <name val="Calibri"/>
      <family val="2"/>
      <scheme val="minor"/>
    </font>
    <font>
      <b/>
      <sz val="16"/>
      <color rgb="FF0070C0"/>
      <name val="Calibri"/>
      <family val="2"/>
      <scheme val="minor"/>
    </font>
    <font>
      <b/>
      <sz val="14"/>
      <color rgb="FF0070C0"/>
      <name val="Calibri"/>
      <family val="2"/>
      <scheme val="minor"/>
    </font>
    <font>
      <b/>
      <sz val="18"/>
      <color rgb="FF00B050"/>
      <name val="Calibri"/>
      <family val="2"/>
      <scheme val="minor"/>
    </font>
    <font>
      <b/>
      <sz val="12"/>
      <color rgb="FF0070C0"/>
      <name val="Calibri"/>
      <family val="2"/>
      <scheme val="minor"/>
    </font>
    <font>
      <sz val="12"/>
      <color rgb="FF0070C0"/>
      <name val="Calibri"/>
      <family val="2"/>
      <scheme val="minor"/>
    </font>
    <font>
      <sz val="14"/>
      <color rgb="FF0F172A"/>
      <name val="Calibri"/>
      <family val="2"/>
      <scheme val="minor"/>
    </font>
    <font>
      <b/>
      <sz val="14"/>
      <name val="Calibri"/>
      <family val="2"/>
      <scheme val="minor"/>
    </font>
    <font>
      <i/>
      <sz val="14"/>
      <color theme="1"/>
      <name val="Calibri"/>
      <family val="2"/>
      <scheme val="minor"/>
    </font>
    <font>
      <b/>
      <i/>
      <sz val="14"/>
      <color rgb="FFFF0000"/>
      <name val="Calibri"/>
      <family val="2"/>
      <scheme val="minor"/>
    </font>
    <font>
      <sz val="16"/>
      <color theme="1"/>
      <name val="Calibri"/>
      <family val="2"/>
      <scheme val="minor"/>
    </font>
    <font>
      <b/>
      <sz val="18"/>
      <color theme="1"/>
      <name val="Calibri"/>
      <family val="2"/>
      <scheme val="minor"/>
    </font>
    <font>
      <u/>
      <sz val="16"/>
      <color theme="10"/>
      <name val="Calibri"/>
      <family val="2"/>
    </font>
    <font>
      <b/>
      <sz val="16"/>
      <color rgb="FFFF0000"/>
      <name val="Calibri"/>
      <family val="2"/>
      <scheme val="minor"/>
    </font>
    <font>
      <sz val="16"/>
      <name val="Calibri"/>
      <family val="2"/>
      <scheme val="minor"/>
    </font>
    <font>
      <b/>
      <sz val="14"/>
      <color rgb="FF00B050"/>
      <name val="Calibri"/>
      <family val="2"/>
      <scheme val="minor"/>
    </font>
    <font>
      <sz val="14"/>
      <color theme="0" tint="-4.9989318521683403E-2"/>
      <name val="Calibri"/>
      <family val="2"/>
      <scheme val="minor"/>
    </font>
    <font>
      <b/>
      <sz val="18"/>
      <color rgb="FFFF0000"/>
      <name val="Calibri"/>
      <family val="2"/>
      <scheme val="minor"/>
    </font>
    <font>
      <sz val="12"/>
      <name val="Calibri"/>
      <family val="2"/>
    </font>
    <font>
      <sz val="14"/>
      <name val="Calibri"/>
      <family val="2"/>
    </font>
    <font>
      <sz val="14"/>
      <color theme="8" tint="0.79998168889431442"/>
      <name val="Calibri"/>
      <family val="2"/>
      <scheme val="minor"/>
    </font>
    <font>
      <sz val="16"/>
      <color rgb="FFFF0000"/>
      <name val="Calibri"/>
      <family val="2"/>
      <scheme val="minor"/>
    </font>
    <font>
      <sz val="12"/>
      <color rgb="FFFF0000"/>
      <name val="Calibri"/>
      <family val="2"/>
      <scheme val="minor"/>
    </font>
    <font>
      <sz val="12"/>
      <color rgb="FFFF0000"/>
      <name val="Calibri"/>
      <family val="2"/>
    </font>
    <font>
      <sz val="16"/>
      <color theme="1"/>
      <name val="Calibri"/>
      <family val="2"/>
    </font>
    <font>
      <sz val="14"/>
      <color theme="8" tint="0.79998168889431442"/>
      <name val="Calibri"/>
      <family val="2"/>
    </font>
  </fonts>
  <fills count="12">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FFCC"/>
        <bgColor indexed="64"/>
      </patternFill>
    </fill>
    <fill>
      <patternFill patternType="solid">
        <fgColor rgb="FF00FFFF"/>
        <bgColor indexed="64"/>
      </patternFill>
    </fill>
    <fill>
      <patternFill patternType="solid">
        <fgColor theme="4" tint="0.79998168889431442"/>
        <bgColor indexed="64"/>
      </patternFill>
    </fill>
  </fills>
  <borders count="59">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0" fontId="4" fillId="0" borderId="0" applyNumberFormat="0" applyFill="0" applyBorder="0" applyAlignment="0" applyProtection="0">
      <alignment vertical="top"/>
      <protection locked="0"/>
    </xf>
    <xf numFmtId="9" fontId="3" fillId="0" borderId="0" applyFont="0" applyFill="0" applyBorder="0" applyAlignment="0" applyProtection="0"/>
  </cellStyleXfs>
  <cellXfs count="431">
    <xf numFmtId="0" fontId="0" fillId="0" borderId="0" xfId="0"/>
    <xf numFmtId="0" fontId="8" fillId="2" borderId="1" xfId="0" applyFont="1" applyFill="1" applyBorder="1" applyProtection="1"/>
    <xf numFmtId="0" fontId="8" fillId="0" borderId="0" xfId="0" applyFont="1" applyProtection="1"/>
    <xf numFmtId="0" fontId="13" fillId="4" borderId="40" xfId="0" applyFont="1" applyFill="1" applyBorder="1" applyAlignment="1" applyProtection="1">
      <alignment horizontal="left" vertical="center"/>
    </xf>
    <xf numFmtId="164" fontId="13" fillId="4" borderId="40" xfId="2" applyNumberFormat="1" applyFont="1" applyFill="1" applyBorder="1" applyAlignment="1" applyProtection="1">
      <alignment horizontal="left" vertical="center"/>
    </xf>
    <xf numFmtId="164" fontId="13" fillId="7" borderId="19" xfId="2" applyNumberFormat="1" applyFont="1" applyFill="1" applyBorder="1" applyAlignment="1" applyProtection="1">
      <alignment horizontal="center" vertical="center"/>
    </xf>
    <xf numFmtId="164" fontId="13" fillId="7" borderId="20" xfId="2" applyNumberFormat="1" applyFont="1" applyFill="1" applyBorder="1" applyAlignment="1" applyProtection="1">
      <alignment horizontal="center" vertical="center"/>
    </xf>
    <xf numFmtId="10" fontId="13" fillId="7" borderId="19" xfId="2" applyNumberFormat="1" applyFont="1" applyFill="1" applyBorder="1" applyAlignment="1" applyProtection="1">
      <alignment horizontal="center" vertical="center"/>
    </xf>
    <xf numFmtId="10" fontId="13" fillId="7" borderId="20" xfId="2" applyNumberFormat="1" applyFont="1" applyFill="1" applyBorder="1" applyAlignment="1" applyProtection="1">
      <alignment horizontal="center" vertical="center"/>
    </xf>
    <xf numFmtId="164" fontId="8" fillId="7" borderId="19" xfId="2" applyNumberFormat="1" applyFont="1" applyFill="1" applyBorder="1" applyAlignment="1" applyProtection="1">
      <alignment horizontal="center" vertical="center"/>
    </xf>
    <xf numFmtId="164" fontId="8" fillId="7" borderId="20" xfId="2" applyNumberFormat="1" applyFont="1" applyFill="1" applyBorder="1" applyAlignment="1" applyProtection="1">
      <alignment horizontal="center" vertical="center"/>
    </xf>
    <xf numFmtId="10" fontId="8" fillId="7" borderId="20" xfId="2" applyNumberFormat="1" applyFont="1" applyFill="1" applyBorder="1" applyAlignment="1" applyProtection="1">
      <alignment horizontal="center" vertical="center"/>
    </xf>
    <xf numFmtId="9" fontId="13" fillId="7" borderId="20" xfId="2" applyFont="1" applyFill="1" applyBorder="1" applyAlignment="1" applyProtection="1">
      <alignment horizontal="center" vertical="center"/>
    </xf>
    <xf numFmtId="10" fontId="8" fillId="7" borderId="19" xfId="2" applyNumberFormat="1" applyFont="1" applyFill="1" applyBorder="1" applyAlignment="1" applyProtection="1">
      <alignment horizontal="center" vertical="center"/>
    </xf>
    <xf numFmtId="164" fontId="13" fillId="7" borderId="21" xfId="2" applyNumberFormat="1" applyFont="1" applyFill="1" applyBorder="1" applyAlignment="1" applyProtection="1">
      <alignment horizontal="center" vertical="center"/>
    </xf>
    <xf numFmtId="164" fontId="13" fillId="7" borderId="22" xfId="2" applyNumberFormat="1" applyFont="1" applyFill="1" applyBorder="1" applyAlignment="1" applyProtection="1">
      <alignment horizontal="center" vertical="center"/>
    </xf>
    <xf numFmtId="0" fontId="13" fillId="7" borderId="4" xfId="0" applyFont="1" applyFill="1" applyBorder="1" applyAlignment="1" applyProtection="1">
      <alignment horizontal="left" vertical="center"/>
    </xf>
    <xf numFmtId="164" fontId="13" fillId="7" borderId="0" xfId="2" applyNumberFormat="1" applyFont="1" applyFill="1" applyBorder="1" applyAlignment="1" applyProtection="1">
      <alignment horizontal="center" vertical="center"/>
    </xf>
    <xf numFmtId="2" fontId="8" fillId="7" borderId="0" xfId="0" applyNumberFormat="1" applyFont="1" applyFill="1" applyBorder="1" applyAlignment="1" applyProtection="1">
      <alignment horizontal="center" vertical="center"/>
    </xf>
    <xf numFmtId="0" fontId="13" fillId="7" borderId="0" xfId="0" applyFont="1" applyFill="1" applyBorder="1" applyAlignment="1" applyProtection="1">
      <alignment vertical="center"/>
    </xf>
    <xf numFmtId="0" fontId="8" fillId="2" borderId="2" xfId="0" applyFont="1" applyFill="1" applyBorder="1" applyAlignment="1" applyProtection="1">
      <alignment horizontal="center" vertical="center"/>
    </xf>
    <xf numFmtId="164" fontId="8" fillId="5" borderId="2" xfId="2" quotePrefix="1" applyNumberFormat="1" applyFont="1" applyFill="1" applyBorder="1" applyAlignment="1" applyProtection="1">
      <alignment horizontal="center" vertical="center"/>
    </xf>
    <xf numFmtId="164" fontId="13" fillId="7" borderId="0" xfId="0" applyNumberFormat="1" applyFont="1" applyFill="1" applyBorder="1" applyAlignment="1" applyProtection="1">
      <alignment vertical="center"/>
    </xf>
    <xf numFmtId="0" fontId="10" fillId="7" borderId="1" xfId="1" applyFont="1" applyFill="1" applyBorder="1" applyAlignment="1" applyProtection="1"/>
    <xf numFmtId="9" fontId="15" fillId="3" borderId="0" xfId="0" applyNumberFormat="1" applyFont="1" applyFill="1" applyBorder="1" applyAlignment="1" applyProtection="1">
      <alignment horizontal="center" vertical="center"/>
      <protection locked="0"/>
    </xf>
    <xf numFmtId="9" fontId="18" fillId="2" borderId="2" xfId="0" applyNumberFormat="1" applyFont="1" applyFill="1" applyBorder="1" applyAlignment="1" applyProtection="1">
      <alignment horizontal="center" vertical="center"/>
    </xf>
    <xf numFmtId="9" fontId="14" fillId="2" borderId="2" xfId="0" applyNumberFormat="1" applyFont="1" applyFill="1" applyBorder="1" applyAlignment="1" applyProtection="1">
      <alignment horizontal="center" vertical="center"/>
    </xf>
    <xf numFmtId="9" fontId="18" fillId="2" borderId="17" xfId="0" applyNumberFormat="1" applyFont="1" applyFill="1" applyBorder="1" applyAlignment="1" applyProtection="1">
      <alignment horizontal="center" vertical="center"/>
    </xf>
    <xf numFmtId="9" fontId="14" fillId="2" borderId="17" xfId="0" applyNumberFormat="1" applyFont="1" applyFill="1" applyBorder="1" applyAlignment="1" applyProtection="1">
      <alignment horizontal="center" vertical="center"/>
    </xf>
    <xf numFmtId="0" fontId="1" fillId="7" borderId="0" xfId="0" applyFont="1" applyFill="1" applyBorder="1" applyAlignment="1" applyProtection="1">
      <alignment vertical="center"/>
    </xf>
    <xf numFmtId="0" fontId="16" fillId="7" borderId="0" xfId="0" applyFont="1" applyFill="1" applyBorder="1" applyAlignment="1" applyProtection="1">
      <alignment horizontal="center" vertical="center"/>
    </xf>
    <xf numFmtId="167" fontId="1" fillId="7" borderId="0" xfId="0" applyNumberFormat="1" applyFont="1" applyFill="1" applyBorder="1" applyAlignment="1" applyProtection="1">
      <alignment vertical="center"/>
    </xf>
    <xf numFmtId="0" fontId="26" fillId="7" borderId="0"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164" fontId="8" fillId="4" borderId="2" xfId="2" applyNumberFormat="1" applyFont="1" applyFill="1" applyBorder="1" applyAlignment="1" applyProtection="1">
      <alignment horizontal="center" vertical="center"/>
    </xf>
    <xf numFmtId="164" fontId="13" fillId="4" borderId="2" xfId="2" applyNumberFormat="1" applyFont="1" applyFill="1" applyBorder="1" applyAlignment="1" applyProtection="1">
      <alignment horizontal="center" vertical="center"/>
    </xf>
    <xf numFmtId="0" fontId="8" fillId="7" borderId="0" xfId="0" applyFont="1" applyFill="1" applyBorder="1" applyAlignment="1" applyProtection="1">
      <alignment vertical="center"/>
    </xf>
    <xf numFmtId="0" fontId="8" fillId="7" borderId="0" xfId="0" applyFont="1" applyFill="1" applyBorder="1" applyAlignment="1" applyProtection="1">
      <alignment horizontal="left" vertical="center"/>
    </xf>
    <xf numFmtId="0" fontId="13" fillId="7" borderId="0" xfId="0" applyFont="1" applyFill="1" applyBorder="1" applyAlignment="1" applyProtection="1">
      <alignment horizontal="left" vertical="center"/>
    </xf>
    <xf numFmtId="0" fontId="13" fillId="4" borderId="48" xfId="0" applyFont="1" applyFill="1" applyBorder="1" applyAlignment="1" applyProtection="1">
      <alignment horizontal="left" vertical="center"/>
    </xf>
    <xf numFmtId="0" fontId="21" fillId="7" borderId="23" xfId="0" applyFont="1" applyFill="1" applyBorder="1" applyAlignment="1" applyProtection="1">
      <alignment vertical="center"/>
    </xf>
    <xf numFmtId="0" fontId="8" fillId="7" borderId="18" xfId="0" applyFont="1" applyFill="1" applyBorder="1" applyAlignment="1" applyProtection="1">
      <alignment horizontal="center" wrapText="1"/>
    </xf>
    <xf numFmtId="0" fontId="8" fillId="7" borderId="7" xfId="0" applyFont="1" applyFill="1" applyBorder="1" applyAlignment="1" applyProtection="1">
      <alignment horizontal="center" vertical="center"/>
    </xf>
    <xf numFmtId="0" fontId="8" fillId="7" borderId="28" xfId="0" applyFont="1" applyFill="1" applyBorder="1" applyAlignment="1" applyProtection="1">
      <alignment horizontal="center" vertical="center"/>
    </xf>
    <xf numFmtId="0" fontId="8" fillId="7" borderId="7" xfId="0" applyNumberFormat="1" applyFont="1" applyFill="1" applyBorder="1" applyAlignment="1" applyProtection="1">
      <alignment horizontal="center" vertical="center"/>
    </xf>
    <xf numFmtId="0" fontId="8" fillId="7" borderId="24" xfId="0" applyFont="1" applyFill="1" applyBorder="1" applyProtection="1"/>
    <xf numFmtId="0" fontId="8" fillId="7" borderId="0" xfId="0" applyFont="1" applyFill="1" applyBorder="1" applyProtection="1"/>
    <xf numFmtId="0" fontId="8" fillId="7" borderId="0" xfId="0" applyFont="1" applyFill="1" applyBorder="1" applyAlignment="1" applyProtection="1">
      <alignment horizontal="center" vertical="center"/>
    </xf>
    <xf numFmtId="0" fontId="8" fillId="7" borderId="15" xfId="0" applyFont="1" applyFill="1" applyBorder="1" applyAlignment="1" applyProtection="1">
      <alignment horizontal="center" vertical="center"/>
    </xf>
    <xf numFmtId="0" fontId="8" fillId="7" borderId="16" xfId="0" applyFont="1" applyFill="1" applyBorder="1" applyAlignment="1" applyProtection="1">
      <alignment horizontal="center"/>
    </xf>
    <xf numFmtId="0" fontId="8" fillId="4" borderId="16" xfId="0" applyFont="1" applyFill="1" applyBorder="1" applyAlignment="1" applyProtection="1">
      <alignment horizontal="center" vertical="center"/>
    </xf>
    <xf numFmtId="0" fontId="8" fillId="7" borderId="21" xfId="0" applyFont="1" applyFill="1" applyBorder="1" applyAlignment="1" applyProtection="1">
      <alignment horizontal="center"/>
    </xf>
    <xf numFmtId="0" fontId="8" fillId="7" borderId="22" xfId="0" applyFont="1" applyFill="1" applyBorder="1" applyAlignment="1" applyProtection="1">
      <alignment horizontal="center"/>
    </xf>
    <xf numFmtId="0" fontId="8" fillId="7" borderId="29" xfId="0" applyFont="1" applyFill="1" applyBorder="1" applyAlignment="1" applyProtection="1">
      <alignment horizontal="center"/>
    </xf>
    <xf numFmtId="0" fontId="8" fillId="7" borderId="33" xfId="0" applyFont="1" applyFill="1" applyBorder="1" applyAlignment="1" applyProtection="1">
      <alignment horizontal="center"/>
    </xf>
    <xf numFmtId="0" fontId="8" fillId="7" borderId="9" xfId="0" applyFont="1" applyFill="1" applyBorder="1" applyAlignment="1" applyProtection="1">
      <alignment horizontal="center"/>
    </xf>
    <xf numFmtId="0" fontId="8" fillId="7" borderId="3" xfId="0" applyFont="1" applyFill="1" applyBorder="1" applyProtection="1"/>
    <xf numFmtId="1" fontId="8" fillId="4" borderId="0" xfId="0" applyNumberFormat="1" applyFont="1" applyFill="1" applyBorder="1" applyAlignment="1" applyProtection="1">
      <alignment horizontal="center" vertical="center"/>
    </xf>
    <xf numFmtId="0" fontId="8" fillId="7" borderId="0" xfId="0" applyFont="1" applyFill="1" applyBorder="1" applyAlignment="1" applyProtection="1">
      <alignment horizontal="center"/>
    </xf>
    <xf numFmtId="0" fontId="8" fillId="7" borderId="1" xfId="0" applyFont="1" applyFill="1" applyBorder="1" applyAlignment="1" applyProtection="1">
      <alignment horizontal="left"/>
    </xf>
    <xf numFmtId="2" fontId="8" fillId="7" borderId="0" xfId="0" applyNumberFormat="1" applyFont="1" applyFill="1" applyBorder="1" applyAlignment="1" applyProtection="1">
      <alignment horizontal="center"/>
    </xf>
    <xf numFmtId="164" fontId="13" fillId="4" borderId="38" xfId="2" applyNumberFormat="1" applyFont="1" applyFill="1" applyBorder="1" applyAlignment="1" applyProtection="1">
      <alignment horizontal="left" vertical="center"/>
    </xf>
    <xf numFmtId="10" fontId="13" fillId="7" borderId="32" xfId="2" applyNumberFormat="1" applyFont="1" applyFill="1" applyBorder="1" applyAlignment="1" applyProtection="1">
      <alignment horizontal="center" vertical="center"/>
    </xf>
    <xf numFmtId="10" fontId="13" fillId="7" borderId="30" xfId="2" applyNumberFormat="1" applyFont="1" applyFill="1" applyBorder="1" applyAlignment="1" applyProtection="1">
      <alignment horizontal="center" vertical="center"/>
    </xf>
    <xf numFmtId="2" fontId="8" fillId="7" borderId="32" xfId="0" applyNumberFormat="1" applyFont="1" applyFill="1" applyBorder="1" applyAlignment="1" applyProtection="1">
      <alignment horizontal="center"/>
    </xf>
    <xf numFmtId="2" fontId="8" fillId="7" borderId="30" xfId="0" applyNumberFormat="1" applyFont="1" applyFill="1" applyBorder="1" applyAlignment="1" applyProtection="1">
      <alignment horizontal="center"/>
    </xf>
    <xf numFmtId="2" fontId="8" fillId="7" borderId="11" xfId="0" applyNumberFormat="1" applyFont="1" applyFill="1" applyBorder="1" applyAlignment="1" applyProtection="1">
      <alignment horizontal="center"/>
    </xf>
    <xf numFmtId="2" fontId="8" fillId="7" borderId="18" xfId="0" applyNumberFormat="1" applyFont="1" applyFill="1" applyBorder="1" applyAlignment="1" applyProtection="1">
      <alignment horizontal="center"/>
    </xf>
    <xf numFmtId="2" fontId="8" fillId="7" borderId="7" xfId="0" applyNumberFormat="1" applyFont="1" applyFill="1" applyBorder="1" applyAlignment="1" applyProtection="1">
      <alignment horizontal="center"/>
    </xf>
    <xf numFmtId="2" fontId="8" fillId="7" borderId="28" xfId="0" applyNumberFormat="1" applyFont="1" applyFill="1" applyBorder="1" applyAlignment="1" applyProtection="1">
      <alignment horizontal="center"/>
    </xf>
    <xf numFmtId="0" fontId="8" fillId="0" borderId="0" xfId="0" applyFont="1" applyAlignment="1" applyProtection="1">
      <alignment horizontal="center"/>
    </xf>
    <xf numFmtId="0" fontId="8" fillId="9" borderId="0" xfId="0" applyFont="1" applyFill="1" applyBorder="1" applyAlignment="1" applyProtection="1">
      <alignment horizontal="center"/>
    </xf>
    <xf numFmtId="2" fontId="8" fillId="7" borderId="5" xfId="0" applyNumberFormat="1" applyFont="1" applyFill="1" applyBorder="1" applyAlignment="1" applyProtection="1">
      <alignment horizontal="center"/>
    </xf>
    <xf numFmtId="2" fontId="8" fillId="7" borderId="19" xfId="0" applyNumberFormat="1" applyFont="1" applyFill="1" applyBorder="1" applyAlignment="1" applyProtection="1">
      <alignment horizontal="center"/>
    </xf>
    <xf numFmtId="2" fontId="8" fillId="7" borderId="20" xfId="0" applyNumberFormat="1" applyFont="1" applyFill="1" applyBorder="1" applyAlignment="1" applyProtection="1">
      <alignment horizontal="center"/>
    </xf>
    <xf numFmtId="2" fontId="8" fillId="7" borderId="17" xfId="0" applyNumberFormat="1" applyFont="1" applyFill="1" applyBorder="1" applyAlignment="1" applyProtection="1">
      <alignment horizontal="center"/>
    </xf>
    <xf numFmtId="0" fontId="8" fillId="7" borderId="1" xfId="0" applyFont="1" applyFill="1" applyBorder="1" applyProtection="1"/>
    <xf numFmtId="0" fontId="8" fillId="7" borderId="44" xfId="0" applyFont="1" applyFill="1" applyBorder="1" applyAlignment="1" applyProtection="1">
      <alignment horizontal="left" vertical="center"/>
    </xf>
    <xf numFmtId="0" fontId="8" fillId="7" borderId="39" xfId="0" applyFont="1" applyFill="1" applyBorder="1" applyAlignment="1" applyProtection="1">
      <alignment horizontal="center" vertical="center"/>
    </xf>
    <xf numFmtId="0" fontId="8" fillId="7" borderId="0" xfId="0" applyFont="1" applyFill="1" applyBorder="1" applyAlignment="1" applyProtection="1">
      <alignment horizontal="center"/>
    </xf>
    <xf numFmtId="0" fontId="24" fillId="7" borderId="0" xfId="0" applyFont="1" applyFill="1" applyBorder="1" applyAlignment="1" applyProtection="1">
      <alignment horizontal="center"/>
    </xf>
    <xf numFmtId="0" fontId="8" fillId="7" borderId="0" xfId="0" applyFont="1" applyFill="1" applyBorder="1" applyAlignment="1" applyProtection="1"/>
    <xf numFmtId="0" fontId="22" fillId="7" borderId="0" xfId="0" applyFont="1" applyFill="1" applyBorder="1" applyAlignment="1" applyProtection="1">
      <alignment horizontal="center"/>
    </xf>
    <xf numFmtId="167" fontId="8" fillId="8" borderId="0" xfId="0" applyNumberFormat="1" applyFont="1" applyFill="1" applyBorder="1" applyProtection="1"/>
    <xf numFmtId="167" fontId="8" fillId="4" borderId="0" xfId="0" applyNumberFormat="1" applyFont="1" applyFill="1" applyBorder="1" applyProtection="1"/>
    <xf numFmtId="0" fontId="22" fillId="7" borderId="0" xfId="0" applyFont="1" applyFill="1" applyBorder="1" applyAlignment="1" applyProtection="1">
      <alignment horizontal="right"/>
    </xf>
    <xf numFmtId="0" fontId="8" fillId="7" borderId="16" xfId="0" applyFont="1" applyFill="1" applyBorder="1" applyProtection="1"/>
    <xf numFmtId="166" fontId="8" fillId="7" borderId="0" xfId="0" applyNumberFormat="1" applyFont="1" applyFill="1" applyBorder="1" applyProtection="1"/>
    <xf numFmtId="0" fontId="8" fillId="7" borderId="36" xfId="0" applyFont="1" applyFill="1" applyBorder="1" applyAlignment="1" applyProtection="1">
      <alignment horizontal="center" vertical="center"/>
    </xf>
    <xf numFmtId="167" fontId="22" fillId="7" borderId="0" xfId="0" applyNumberFormat="1" applyFont="1" applyFill="1" applyBorder="1" applyAlignment="1" applyProtection="1">
      <alignment horizontal="right"/>
    </xf>
    <xf numFmtId="167" fontId="8" fillId="4" borderId="0" xfId="0" applyNumberFormat="1" applyFont="1" applyFill="1" applyBorder="1" applyAlignment="1" applyProtection="1">
      <alignment horizontal="right"/>
    </xf>
    <xf numFmtId="167" fontId="22" fillId="7" borderId="17" xfId="0" applyNumberFormat="1" applyFont="1" applyFill="1" applyBorder="1" applyAlignment="1" applyProtection="1">
      <alignment horizontal="right"/>
    </xf>
    <xf numFmtId="0" fontId="8" fillId="7" borderId="44" xfId="0" applyFont="1" applyFill="1" applyBorder="1" applyProtection="1"/>
    <xf numFmtId="0" fontId="8" fillId="7" borderId="44" xfId="0" applyFont="1" applyFill="1" applyBorder="1" applyAlignment="1" applyProtection="1">
      <alignment horizontal="center"/>
    </xf>
    <xf numFmtId="0" fontId="9" fillId="7" borderId="0" xfId="0" applyFont="1" applyFill="1" applyBorder="1" applyProtection="1"/>
    <xf numFmtId="0" fontId="9" fillId="7" borderId="0" xfId="0" applyFont="1" applyFill="1" applyBorder="1" applyAlignment="1" applyProtection="1">
      <alignment horizontal="center"/>
    </xf>
    <xf numFmtId="164" fontId="8" fillId="7" borderId="0" xfId="2" applyNumberFormat="1" applyFont="1" applyFill="1" applyBorder="1" applyProtection="1"/>
    <xf numFmtId="164" fontId="8" fillId="7" borderId="0" xfId="0" applyNumberFormat="1" applyFont="1" applyFill="1" applyBorder="1" applyProtection="1"/>
    <xf numFmtId="0" fontId="8" fillId="7" borderId="26" xfId="0" applyFont="1" applyFill="1" applyBorder="1" applyProtection="1"/>
    <xf numFmtId="0" fontId="8" fillId="7" borderId="11" xfId="0" applyFont="1" applyFill="1" applyBorder="1" applyProtection="1"/>
    <xf numFmtId="0" fontId="8" fillId="7" borderId="12" xfId="0" applyFont="1" applyFill="1" applyBorder="1" applyAlignment="1" applyProtection="1">
      <alignment horizontal="center"/>
    </xf>
    <xf numFmtId="0" fontId="8" fillId="7" borderId="23" xfId="0" applyFont="1" applyFill="1" applyBorder="1" applyAlignment="1" applyProtection="1">
      <alignment horizontal="left"/>
    </xf>
    <xf numFmtId="2" fontId="8" fillId="7" borderId="25" xfId="0" applyNumberFormat="1" applyFont="1" applyFill="1" applyBorder="1" applyAlignment="1" applyProtection="1">
      <alignment horizontal="center"/>
    </xf>
    <xf numFmtId="2" fontId="8" fillId="7" borderId="21" xfId="0" applyNumberFormat="1" applyFont="1" applyFill="1" applyBorder="1" applyAlignment="1" applyProtection="1">
      <alignment horizontal="center"/>
    </xf>
    <xf numFmtId="2" fontId="8" fillId="7" borderId="22" xfId="0" applyNumberFormat="1" applyFont="1" applyFill="1" applyBorder="1" applyAlignment="1" applyProtection="1">
      <alignment horizontal="center"/>
    </xf>
    <xf numFmtId="2" fontId="8" fillId="7" borderId="29" xfId="0" applyNumberFormat="1" applyFont="1" applyFill="1" applyBorder="1" applyAlignment="1" applyProtection="1">
      <alignment horizontal="center"/>
    </xf>
    <xf numFmtId="2" fontId="8" fillId="7" borderId="41" xfId="0" applyNumberFormat="1" applyFont="1" applyFill="1" applyBorder="1" applyAlignment="1" applyProtection="1">
      <alignment horizontal="center"/>
    </xf>
    <xf numFmtId="2" fontId="8" fillId="7" borderId="42" xfId="0" applyNumberFormat="1" applyFont="1" applyFill="1" applyBorder="1" applyAlignment="1" applyProtection="1">
      <alignment horizontal="center"/>
    </xf>
    <xf numFmtId="2" fontId="8" fillId="7" borderId="43" xfId="0" applyNumberFormat="1" applyFont="1" applyFill="1" applyBorder="1" applyAlignment="1" applyProtection="1">
      <alignment horizontal="center"/>
    </xf>
    <xf numFmtId="0" fontId="8" fillId="7" borderId="9" xfId="0" applyFont="1" applyFill="1" applyBorder="1" applyProtection="1"/>
    <xf numFmtId="0" fontId="8" fillId="7" borderId="10" xfId="0" applyFont="1" applyFill="1" applyBorder="1" applyAlignment="1" applyProtection="1">
      <alignment horizontal="center"/>
    </xf>
    <xf numFmtId="0" fontId="8" fillId="7" borderId="8" xfId="0" applyFont="1" applyFill="1" applyBorder="1" applyAlignment="1" applyProtection="1">
      <alignment horizontal="center"/>
    </xf>
    <xf numFmtId="10" fontId="8" fillId="4" borderId="0" xfId="2" applyNumberFormat="1" applyFont="1" applyFill="1" applyBorder="1" applyAlignment="1" applyProtection="1">
      <alignment horizontal="center"/>
    </xf>
    <xf numFmtId="10" fontId="8" fillId="4" borderId="27" xfId="0" applyNumberFormat="1" applyFont="1" applyFill="1" applyBorder="1" applyAlignment="1" applyProtection="1">
      <alignment horizontal="center"/>
    </xf>
    <xf numFmtId="9" fontId="8" fillId="4" borderId="0" xfId="2" applyFont="1" applyFill="1" applyBorder="1" applyAlignment="1" applyProtection="1">
      <alignment horizontal="center"/>
    </xf>
    <xf numFmtId="2" fontId="8" fillId="7" borderId="24" xfId="0" applyNumberFormat="1" applyFont="1" applyFill="1" applyBorder="1" applyAlignment="1" applyProtection="1">
      <alignment horizontal="center"/>
    </xf>
    <xf numFmtId="10" fontId="8" fillId="4" borderId="13" xfId="0" applyNumberFormat="1" applyFont="1" applyFill="1" applyBorder="1" applyAlignment="1" applyProtection="1">
      <alignment horizontal="center"/>
    </xf>
    <xf numFmtId="0" fontId="8" fillId="7" borderId="4" xfId="0" applyFont="1" applyFill="1" applyBorder="1" applyProtection="1"/>
    <xf numFmtId="0" fontId="8" fillId="7" borderId="5" xfId="0" applyFont="1" applyFill="1" applyBorder="1" applyProtection="1"/>
    <xf numFmtId="0" fontId="8" fillId="7" borderId="5" xfId="0" applyFont="1" applyFill="1" applyBorder="1" applyAlignment="1" applyProtection="1">
      <alignment horizontal="center"/>
    </xf>
    <xf numFmtId="0" fontId="8" fillId="7" borderId="4" xfId="0" applyFont="1" applyFill="1" applyBorder="1" applyAlignment="1" applyProtection="1">
      <alignment horizontal="left"/>
    </xf>
    <xf numFmtId="0" fontId="8" fillId="7" borderId="6" xfId="0" applyFont="1" applyFill="1" applyBorder="1" applyProtection="1"/>
    <xf numFmtId="0" fontId="8" fillId="0" borderId="0" xfId="0" applyFont="1" applyAlignment="1" applyProtection="1">
      <alignment horizontal="left"/>
    </xf>
    <xf numFmtId="0" fontId="8" fillId="7" borderId="0" xfId="0" applyFont="1" applyFill="1" applyBorder="1" applyProtection="1">
      <protection locked="0"/>
    </xf>
    <xf numFmtId="167" fontId="8" fillId="3" borderId="0" xfId="0" applyNumberFormat="1" applyFont="1" applyFill="1" applyBorder="1" applyProtection="1">
      <protection locked="0"/>
    </xf>
    <xf numFmtId="0" fontId="8" fillId="3" borderId="37" xfId="0" applyFont="1" applyFill="1" applyBorder="1" applyAlignment="1" applyProtection="1">
      <alignment horizontal="center" vertical="center"/>
      <protection locked="0"/>
    </xf>
    <xf numFmtId="0" fontId="8" fillId="7" borderId="0" xfId="0" applyNumberFormat="1" applyFont="1" applyFill="1" applyBorder="1" applyProtection="1"/>
    <xf numFmtId="165" fontId="7" fillId="7" borderId="0" xfId="0" applyNumberFormat="1" applyFont="1" applyFill="1" applyBorder="1" applyAlignment="1" applyProtection="1"/>
    <xf numFmtId="0" fontId="20" fillId="7" borderId="0" xfId="1" applyFont="1" applyFill="1" applyBorder="1" applyAlignment="1" applyProtection="1"/>
    <xf numFmtId="0" fontId="15" fillId="7" borderId="0" xfId="0" applyFont="1" applyFill="1" applyBorder="1" applyAlignment="1" applyProtection="1"/>
    <xf numFmtId="167" fontId="13" fillId="3" borderId="0" xfId="0" applyNumberFormat="1" applyFont="1" applyFill="1" applyBorder="1" applyProtection="1">
      <protection locked="0"/>
    </xf>
    <xf numFmtId="0" fontId="8" fillId="7" borderId="0" xfId="0" applyFont="1" applyFill="1" applyBorder="1" applyAlignment="1" applyProtection="1">
      <alignment horizontal="center"/>
    </xf>
    <xf numFmtId="0" fontId="8" fillId="7" borderId="16" xfId="0" applyFont="1" applyFill="1" applyBorder="1" applyAlignment="1" applyProtection="1">
      <alignment horizontal="center" vertical="center"/>
    </xf>
    <xf numFmtId="0" fontId="8" fillId="7" borderId="25" xfId="0" applyFont="1" applyFill="1" applyBorder="1" applyAlignment="1" applyProtection="1">
      <alignment horizontal="center" vertical="center"/>
    </xf>
    <xf numFmtId="0" fontId="21" fillId="4" borderId="34" xfId="0" applyFont="1" applyFill="1" applyBorder="1" applyAlignment="1" applyProtection="1">
      <alignment horizontal="center" vertical="center"/>
    </xf>
    <xf numFmtId="0" fontId="8" fillId="7" borderId="49" xfId="0" applyFont="1" applyFill="1" applyBorder="1" applyAlignment="1" applyProtection="1">
      <alignment horizontal="center" vertical="center"/>
    </xf>
    <xf numFmtId="0" fontId="8" fillId="3" borderId="6" xfId="0" applyFont="1" applyFill="1" applyBorder="1" applyAlignment="1" applyProtection="1">
      <alignment horizontal="center" vertical="center"/>
      <protection locked="0"/>
    </xf>
    <xf numFmtId="0" fontId="8" fillId="7" borderId="3" xfId="0" applyFont="1" applyFill="1" applyBorder="1" applyAlignment="1" applyProtection="1">
      <alignment horizontal="center" vertical="center"/>
    </xf>
    <xf numFmtId="0" fontId="2" fillId="7" borderId="3" xfId="0" applyFont="1" applyFill="1" applyBorder="1" applyAlignment="1" applyProtection="1">
      <alignment vertical="center"/>
    </xf>
    <xf numFmtId="0" fontId="8" fillId="7" borderId="3" xfId="0" applyFont="1" applyFill="1" applyBorder="1" applyAlignment="1" applyProtection="1">
      <alignment horizontal="right" vertical="center"/>
    </xf>
    <xf numFmtId="0" fontId="8" fillId="7" borderId="50" xfId="0" applyFont="1" applyFill="1" applyBorder="1" applyAlignment="1" applyProtection="1">
      <alignment horizontal="right" vertical="center"/>
    </xf>
    <xf numFmtId="167" fontId="8" fillId="8" borderId="0" xfId="0" applyNumberFormat="1" applyFont="1" applyFill="1" applyBorder="1" applyAlignment="1" applyProtection="1">
      <alignment horizontal="right"/>
    </xf>
    <xf numFmtId="0" fontId="8" fillId="0" borderId="0" xfId="0" applyFont="1" applyBorder="1" applyProtection="1"/>
    <xf numFmtId="0" fontId="8" fillId="6" borderId="0" xfId="0" applyFont="1" applyFill="1" applyBorder="1" applyAlignment="1" applyProtection="1">
      <alignment horizontal="center" vertical="center"/>
    </xf>
    <xf numFmtId="1" fontId="8" fillId="7" borderId="0" xfId="0" applyNumberFormat="1" applyFont="1" applyFill="1" applyBorder="1" applyAlignment="1" applyProtection="1">
      <alignment horizontal="center"/>
    </xf>
    <xf numFmtId="1" fontId="8" fillId="5" borderId="2" xfId="0" applyNumberFormat="1" applyFont="1" applyFill="1" applyBorder="1" applyAlignment="1" applyProtection="1">
      <alignment horizontal="center" vertical="center"/>
    </xf>
    <xf numFmtId="0" fontId="8" fillId="0" borderId="0" xfId="0" applyFont="1" applyBorder="1" applyAlignment="1" applyProtection="1">
      <alignment horizontal="left"/>
    </xf>
    <xf numFmtId="166" fontId="8" fillId="7" borderId="0" xfId="0" applyNumberFormat="1" applyFont="1" applyFill="1" applyBorder="1" applyAlignment="1" applyProtection="1">
      <alignment horizontal="right"/>
      <protection locked="0"/>
    </xf>
    <xf numFmtId="0" fontId="8" fillId="2" borderId="9" xfId="0" applyFont="1" applyFill="1" applyBorder="1" applyAlignment="1" applyProtection="1">
      <alignment vertical="center"/>
    </xf>
    <xf numFmtId="0" fontId="8" fillId="7" borderId="10" xfId="0" applyFont="1" applyFill="1" applyBorder="1" applyProtection="1"/>
    <xf numFmtId="0" fontId="13" fillId="7" borderId="10" xfId="0" applyFont="1" applyFill="1" applyBorder="1" applyAlignment="1" applyProtection="1">
      <alignment horizontal="center" vertical="center"/>
    </xf>
    <xf numFmtId="164" fontId="13" fillId="7" borderId="8" xfId="0" applyNumberFormat="1" applyFont="1" applyFill="1" applyBorder="1" applyAlignment="1" applyProtection="1">
      <alignment vertical="center"/>
    </xf>
    <xf numFmtId="0" fontId="8" fillId="2" borderId="11" xfId="0" applyFont="1" applyFill="1" applyBorder="1" applyAlignment="1" applyProtection="1">
      <alignment vertical="center"/>
    </xf>
    <xf numFmtId="0" fontId="8" fillId="7" borderId="12" xfId="0" applyFont="1" applyFill="1" applyBorder="1" applyProtection="1"/>
    <xf numFmtId="164" fontId="8" fillId="7" borderId="13" xfId="2" applyNumberFormat="1" applyFont="1" applyFill="1" applyBorder="1" applyProtection="1"/>
    <xf numFmtId="0" fontId="5" fillId="7" borderId="0" xfId="0" applyFont="1" applyFill="1" applyBorder="1" applyAlignment="1" applyProtection="1"/>
    <xf numFmtId="0" fontId="8" fillId="0" borderId="1" xfId="0" applyFont="1" applyFill="1" applyBorder="1" applyProtection="1"/>
    <xf numFmtId="0" fontId="8" fillId="7" borderId="0" xfId="0" applyFont="1" applyFill="1" applyBorder="1" applyAlignment="1" applyProtection="1">
      <alignment horizontal="left"/>
    </xf>
    <xf numFmtId="0" fontId="13" fillId="7" borderId="0" xfId="0" applyFont="1" applyFill="1" applyBorder="1" applyAlignment="1" applyProtection="1"/>
    <xf numFmtId="0" fontId="5" fillId="7" borderId="0" xfId="0" applyFont="1" applyFill="1" applyBorder="1" applyAlignment="1" applyProtection="1">
      <alignment horizontal="left"/>
    </xf>
    <xf numFmtId="0" fontId="8" fillId="0" borderId="1" xfId="0" applyNumberFormat="1" applyFont="1" applyFill="1" applyBorder="1" applyProtection="1"/>
    <xf numFmtId="10" fontId="8" fillId="4" borderId="12" xfId="2" applyNumberFormat="1" applyFont="1" applyFill="1" applyBorder="1" applyAlignment="1" applyProtection="1">
      <alignment horizontal="center"/>
      <protection locked="0"/>
    </xf>
    <xf numFmtId="1" fontId="8" fillId="3" borderId="2" xfId="0" applyNumberFormat="1" applyFont="1" applyFill="1" applyBorder="1" applyAlignment="1" applyProtection="1">
      <alignment horizontal="center" vertical="center"/>
      <protection locked="0"/>
    </xf>
    <xf numFmtId="0" fontId="8" fillId="7" borderId="0" xfId="0" applyFont="1" applyFill="1" applyProtection="1"/>
    <xf numFmtId="0" fontId="8" fillId="7" borderId="26" xfId="0" applyFont="1" applyFill="1" applyBorder="1" applyAlignment="1" applyProtection="1">
      <alignment horizontal="center"/>
    </xf>
    <xf numFmtId="1" fontId="8" fillId="10" borderId="26" xfId="0" applyNumberFormat="1" applyFont="1" applyFill="1" applyBorder="1" applyAlignment="1" applyProtection="1">
      <alignment horizontal="right" vertical="center"/>
    </xf>
    <xf numFmtId="0" fontId="8" fillId="10" borderId="27" xfId="0" applyFont="1" applyFill="1" applyBorder="1" applyAlignment="1" applyProtection="1">
      <alignment horizontal="right" vertical="center"/>
    </xf>
    <xf numFmtId="1" fontId="8" fillId="10" borderId="45" xfId="0" applyNumberFormat="1" applyFont="1" applyFill="1" applyBorder="1" applyAlignment="1" applyProtection="1">
      <alignment horizontal="right" vertical="center"/>
    </xf>
    <xf numFmtId="0" fontId="8" fillId="10" borderId="46" xfId="0" applyFont="1" applyFill="1" applyBorder="1" applyAlignment="1" applyProtection="1">
      <alignment horizontal="right" vertical="center"/>
    </xf>
    <xf numFmtId="0" fontId="8" fillId="10" borderId="0" xfId="0" applyFont="1" applyFill="1" applyBorder="1" applyProtection="1"/>
    <xf numFmtId="1" fontId="22" fillId="7" borderId="44" xfId="0" applyNumberFormat="1" applyFont="1" applyFill="1" applyBorder="1" applyAlignment="1" applyProtection="1">
      <alignment horizontal="right"/>
    </xf>
    <xf numFmtId="1" fontId="9" fillId="4" borderId="44" xfId="0" applyNumberFormat="1" applyFont="1" applyFill="1" applyBorder="1" applyAlignment="1" applyProtection="1">
      <alignment horizontal="right"/>
    </xf>
    <xf numFmtId="1" fontId="9" fillId="8" borderId="44" xfId="0" applyNumberFormat="1" applyFont="1" applyFill="1" applyBorder="1" applyAlignment="1" applyProtection="1">
      <alignment horizontal="right"/>
    </xf>
    <xf numFmtId="10" fontId="8" fillId="0" borderId="0" xfId="0" applyNumberFormat="1" applyFont="1" applyFill="1" applyBorder="1" applyAlignment="1" applyProtection="1">
      <alignment vertical="center"/>
    </xf>
    <xf numFmtId="10" fontId="8" fillId="0" borderId="0" xfId="0" applyNumberFormat="1" applyFont="1" applyFill="1" applyBorder="1" applyAlignment="1" applyProtection="1">
      <alignment horizontal="left" vertical="center"/>
    </xf>
    <xf numFmtId="1" fontId="8" fillId="0" borderId="0" xfId="0" applyNumberFormat="1" applyFont="1" applyBorder="1" applyAlignment="1" applyProtection="1">
      <alignment horizontal="center"/>
    </xf>
    <xf numFmtId="0" fontId="24" fillId="7" borderId="17" xfId="0" applyFont="1" applyFill="1" applyBorder="1" applyAlignment="1" applyProtection="1">
      <alignment horizontal="center" vertical="center"/>
    </xf>
    <xf numFmtId="1" fontId="9" fillId="4" borderId="14" xfId="0" applyNumberFormat="1" applyFont="1" applyFill="1" applyBorder="1" applyAlignment="1" applyProtection="1">
      <alignment horizontal="center" vertical="center"/>
    </xf>
    <xf numFmtId="168" fontId="29" fillId="4" borderId="14" xfId="0" applyNumberFormat="1" applyFont="1" applyFill="1" applyBorder="1" applyAlignment="1" applyProtection="1">
      <alignment horizontal="center" vertical="center"/>
    </xf>
    <xf numFmtId="0" fontId="8" fillId="7" borderId="0" xfId="0" applyFont="1" applyFill="1" applyBorder="1" applyAlignment="1" applyProtection="1">
      <alignment horizontal="center"/>
    </xf>
    <xf numFmtId="10" fontId="8" fillId="7" borderId="0" xfId="0" applyNumberFormat="1" applyFont="1" applyFill="1" applyBorder="1" applyAlignment="1" applyProtection="1">
      <alignment horizontal="center"/>
    </xf>
    <xf numFmtId="0" fontId="8" fillId="7" borderId="0" xfId="0" applyFont="1" applyFill="1" applyAlignment="1" applyProtection="1"/>
    <xf numFmtId="0" fontId="8" fillId="7" borderId="0" xfId="0" quotePrefix="1" applyFont="1" applyFill="1" applyBorder="1" applyProtection="1"/>
    <xf numFmtId="9" fontId="8" fillId="0" borderId="0" xfId="2" applyFont="1" applyAlignment="1" applyProtection="1">
      <alignment horizontal="center"/>
    </xf>
    <xf numFmtId="1" fontId="14" fillId="2" borderId="2" xfId="0" applyNumberFormat="1" applyFont="1" applyFill="1" applyBorder="1" applyAlignment="1" applyProtection="1">
      <alignment horizontal="center" vertical="center"/>
    </xf>
    <xf numFmtId="1" fontId="17" fillId="2" borderId="17" xfId="0" applyNumberFormat="1" applyFont="1" applyFill="1" applyBorder="1" applyAlignment="1" applyProtection="1">
      <alignment horizontal="center" vertical="center"/>
    </xf>
    <xf numFmtId="1" fontId="11" fillId="3" borderId="2" xfId="0" applyNumberFormat="1" applyFont="1" applyFill="1" applyBorder="1" applyAlignment="1" applyProtection="1">
      <alignment horizontal="center" vertical="center"/>
      <protection locked="0"/>
    </xf>
    <xf numFmtId="0" fontId="21" fillId="9" borderId="25" xfId="0" applyFont="1" applyFill="1" applyBorder="1" applyAlignment="1" applyProtection="1">
      <alignment horizontal="center" vertical="center"/>
    </xf>
    <xf numFmtId="0" fontId="5" fillId="3" borderId="47" xfId="0" applyFont="1" applyFill="1" applyBorder="1" applyAlignment="1" applyProtection="1">
      <alignment horizontal="center" vertical="center" wrapText="1"/>
      <protection locked="0"/>
    </xf>
    <xf numFmtId="0" fontId="9" fillId="7" borderId="47" xfId="0" applyFont="1" applyFill="1" applyBorder="1" applyAlignment="1" applyProtection="1">
      <alignment horizontal="center" vertical="center" wrapText="1"/>
    </xf>
    <xf numFmtId="0" fontId="8" fillId="0" borderId="0" xfId="0" applyFont="1" applyBorder="1" applyAlignment="1" applyProtection="1">
      <alignment horizontal="center"/>
    </xf>
    <xf numFmtId="0" fontId="32" fillId="0" borderId="0" xfId="0" applyFont="1" applyBorder="1" applyAlignment="1" applyProtection="1">
      <alignment horizontal="center"/>
    </xf>
    <xf numFmtId="0" fontId="32" fillId="0" borderId="0" xfId="0" applyFont="1" applyBorder="1" applyAlignment="1" applyProtection="1"/>
    <xf numFmtId="0" fontId="8" fillId="7" borderId="0" xfId="0" applyFont="1" applyFill="1" applyBorder="1" applyAlignment="1" applyProtection="1">
      <alignment horizontal="left" vertical="center"/>
    </xf>
    <xf numFmtId="0" fontId="8" fillId="0" borderId="0" xfId="0" applyFont="1" applyBorder="1" applyAlignment="1" applyProtection="1">
      <alignment horizontal="left"/>
    </xf>
    <xf numFmtId="164" fontId="21" fillId="0" borderId="0" xfId="0" applyNumberFormat="1" applyFont="1" applyBorder="1" applyAlignment="1" applyProtection="1">
      <alignment horizontal="center"/>
    </xf>
    <xf numFmtId="0" fontId="5" fillId="3" borderId="0" xfId="0" applyFont="1" applyFill="1" applyBorder="1" applyAlignment="1" applyProtection="1">
      <alignment horizontal="left" vertical="center"/>
      <protection locked="0"/>
    </xf>
    <xf numFmtId="0" fontId="28" fillId="7" borderId="0" xfId="0" applyFont="1" applyFill="1" applyProtection="1"/>
    <xf numFmtId="0" fontId="8" fillId="7" borderId="0" xfId="0" applyFont="1" applyFill="1" applyBorder="1" applyAlignment="1" applyProtection="1">
      <alignment horizontal="center"/>
    </xf>
    <xf numFmtId="0" fontId="8" fillId="7" borderId="0" xfId="0" applyFont="1" applyFill="1" applyAlignment="1" applyProtection="1">
      <alignment horizontal="center"/>
    </xf>
    <xf numFmtId="0" fontId="32" fillId="0" borderId="0" xfId="0" applyFont="1" applyBorder="1" applyAlignment="1" applyProtection="1">
      <alignment horizontal="left"/>
    </xf>
    <xf numFmtId="0" fontId="34" fillId="0" borderId="0" xfId="1" applyFont="1" applyBorder="1" applyAlignment="1" applyProtection="1">
      <alignment horizontal="left"/>
    </xf>
    <xf numFmtId="0" fontId="8" fillId="0" borderId="0" xfId="0" quotePrefix="1" applyFont="1" applyBorder="1" applyAlignment="1" applyProtection="1">
      <alignment vertical="center"/>
    </xf>
    <xf numFmtId="0" fontId="8" fillId="0" borderId="0" xfId="0" quotePrefix="1" applyFont="1" applyAlignment="1" applyProtection="1"/>
    <xf numFmtId="0" fontId="32" fillId="0" borderId="0" xfId="0" applyFont="1" applyBorder="1" applyProtection="1"/>
    <xf numFmtId="0" fontId="8" fillId="7" borderId="0" xfId="0" applyFont="1" applyFill="1" applyAlignment="1" applyProtection="1">
      <alignment horizontal="left"/>
    </xf>
    <xf numFmtId="9" fontId="8" fillId="7" borderId="0" xfId="2" applyFont="1" applyFill="1" applyAlignment="1" applyProtection="1">
      <alignment horizontal="center"/>
    </xf>
    <xf numFmtId="0" fontId="8" fillId="7" borderId="8" xfId="0" applyFont="1" applyFill="1" applyBorder="1" applyProtection="1"/>
    <xf numFmtId="0" fontId="8" fillId="7" borderId="0" xfId="0" applyFont="1" applyFill="1" applyBorder="1" applyAlignment="1" applyProtection="1">
      <alignment horizontal="left"/>
      <protection locked="0"/>
    </xf>
    <xf numFmtId="0" fontId="8" fillId="0" borderId="0" xfId="0" applyFont="1" applyBorder="1" applyAlignment="1" applyProtection="1"/>
    <xf numFmtId="2" fontId="8" fillId="7" borderId="0" xfId="0" applyNumberFormat="1" applyFont="1" applyFill="1" applyBorder="1" applyProtection="1"/>
    <xf numFmtId="0" fontId="8" fillId="4" borderId="2" xfId="0" applyFont="1" applyFill="1" applyBorder="1" applyAlignment="1" applyProtection="1"/>
    <xf numFmtId="0" fontId="8" fillId="7" borderId="0" xfId="0" quotePrefix="1" applyFont="1" applyFill="1" applyProtection="1"/>
    <xf numFmtId="0" fontId="8" fillId="7" borderId="0" xfId="0" quotePrefix="1" applyFont="1" applyFill="1" applyBorder="1" applyAlignment="1" applyProtection="1">
      <alignment vertical="center"/>
    </xf>
    <xf numFmtId="164" fontId="8" fillId="7" borderId="0" xfId="0" applyNumberFormat="1" applyFont="1" applyFill="1" applyBorder="1" applyAlignment="1" applyProtection="1">
      <alignment horizontal="center"/>
    </xf>
    <xf numFmtId="0" fontId="8" fillId="7" borderId="0" xfId="0" applyFont="1" applyFill="1" applyBorder="1" applyAlignment="1" applyProtection="1">
      <alignment horizontal="right" vertical="center"/>
    </xf>
    <xf numFmtId="0" fontId="10" fillId="2" borderId="0" xfId="1" applyFont="1" applyFill="1" applyBorder="1" applyAlignment="1" applyProtection="1"/>
    <xf numFmtId="0" fontId="10" fillId="2" borderId="0" xfId="1" applyFont="1" applyFill="1" applyAlignment="1" applyProtection="1"/>
    <xf numFmtId="0" fontId="8" fillId="4" borderId="40" xfId="0" applyFont="1" applyFill="1" applyBorder="1" applyAlignment="1" applyProtection="1"/>
    <xf numFmtId="0" fontId="8" fillId="4" borderId="20" xfId="0" applyFont="1" applyFill="1" applyBorder="1" applyAlignment="1" applyProtection="1"/>
    <xf numFmtId="0" fontId="8" fillId="4" borderId="22" xfId="0" applyFont="1" applyFill="1" applyBorder="1" applyAlignment="1" applyProtection="1"/>
    <xf numFmtId="0" fontId="36" fillId="0" borderId="0" xfId="0" applyFont="1" applyBorder="1" applyProtection="1"/>
    <xf numFmtId="10" fontId="36" fillId="0" borderId="0" xfId="0" applyNumberFormat="1" applyFont="1" applyBorder="1" applyAlignment="1" applyProtection="1">
      <alignment horizontal="left"/>
    </xf>
    <xf numFmtId="0" fontId="8" fillId="7" borderId="1" xfId="0" applyFont="1" applyFill="1" applyBorder="1" applyAlignment="1" applyProtection="1">
      <alignment horizontal="center"/>
    </xf>
    <xf numFmtId="0" fontId="8" fillId="7" borderId="27" xfId="0" applyFont="1" applyFill="1" applyBorder="1" applyAlignment="1" applyProtection="1">
      <alignment horizontal="center"/>
    </xf>
    <xf numFmtId="0" fontId="8" fillId="4" borderId="37" xfId="0" applyFont="1" applyFill="1" applyBorder="1" applyAlignment="1" applyProtection="1"/>
    <xf numFmtId="9" fontId="8" fillId="7" borderId="0" xfId="2" applyFont="1" applyFill="1" applyAlignment="1" applyProtection="1">
      <alignment horizontal="left"/>
    </xf>
    <xf numFmtId="0" fontId="8" fillId="7" borderId="1" xfId="0" applyFont="1" applyFill="1" applyBorder="1" applyAlignment="1" applyProtection="1"/>
    <xf numFmtId="9" fontId="8" fillId="3" borderId="1" xfId="2" applyFont="1" applyFill="1" applyBorder="1" applyAlignment="1" applyProtection="1">
      <alignment horizontal="center"/>
      <protection locked="0"/>
    </xf>
    <xf numFmtId="0" fontId="9" fillId="7" borderId="0" xfId="0" applyFont="1" applyFill="1" applyBorder="1" applyAlignment="1" applyProtection="1">
      <alignment horizontal="center" vertical="center"/>
    </xf>
    <xf numFmtId="164" fontId="9" fillId="7" borderId="0" xfId="2" applyNumberFormat="1" applyFont="1" applyFill="1" applyBorder="1" applyAlignment="1" applyProtection="1">
      <alignment horizontal="center" vertical="center"/>
    </xf>
    <xf numFmtId="0" fontId="22" fillId="7" borderId="0" xfId="0" applyFont="1" applyFill="1" applyBorder="1" applyAlignment="1" applyProtection="1">
      <alignment horizontal="center"/>
    </xf>
    <xf numFmtId="0" fontId="8" fillId="7" borderId="0" xfId="0" applyFont="1" applyFill="1" applyBorder="1" applyAlignment="1" applyProtection="1">
      <alignment horizontal="left" vertical="center"/>
    </xf>
    <xf numFmtId="0" fontId="8" fillId="0" borderId="0" xfId="0" applyFont="1" applyBorder="1" applyAlignment="1" applyProtection="1">
      <alignment horizontal="left"/>
    </xf>
    <xf numFmtId="166" fontId="8" fillId="8" borderId="0" xfId="0" applyNumberFormat="1" applyFont="1" applyFill="1" applyBorder="1" applyProtection="1"/>
    <xf numFmtId="166" fontId="8" fillId="0" borderId="0" xfId="0" applyNumberFormat="1" applyFont="1" applyBorder="1" applyAlignment="1" applyProtection="1">
      <alignment horizontal="center"/>
    </xf>
    <xf numFmtId="0" fontId="5" fillId="7" borderId="0" xfId="0" quotePrefix="1" applyFont="1" applyFill="1" applyAlignment="1" applyProtection="1">
      <alignment horizontal="center"/>
    </xf>
    <xf numFmtId="0" fontId="6" fillId="2" borderId="2" xfId="0" applyFont="1" applyFill="1" applyBorder="1" applyAlignment="1" applyProtection="1">
      <alignment horizontal="center" vertical="center" wrapText="1"/>
    </xf>
    <xf numFmtId="9" fontId="8" fillId="0" borderId="0" xfId="0" applyNumberFormat="1" applyFont="1" applyAlignment="1" applyProtection="1">
      <alignment horizontal="center"/>
    </xf>
    <xf numFmtId="0" fontId="8" fillId="0" borderId="0" xfId="0" quotePrefix="1" applyFont="1" applyBorder="1" applyAlignment="1" applyProtection="1">
      <alignment horizontal="left"/>
    </xf>
    <xf numFmtId="167" fontId="8" fillId="4" borderId="44" xfId="0" applyNumberFormat="1" applyFont="1" applyFill="1" applyBorder="1" applyAlignment="1" applyProtection="1">
      <alignment horizontal="center" vertical="center"/>
    </xf>
    <xf numFmtId="167" fontId="8" fillId="8" borderId="44" xfId="0" applyNumberFormat="1" applyFont="1" applyFill="1" applyBorder="1" applyAlignment="1" applyProtection="1">
      <alignment horizontal="center" vertical="center"/>
    </xf>
    <xf numFmtId="0" fontId="8" fillId="0" borderId="0" xfId="0" quotePrefix="1" applyFont="1" applyBorder="1" applyProtection="1"/>
    <xf numFmtId="0" fontId="8" fillId="7" borderId="13" xfId="0" applyFont="1" applyFill="1" applyBorder="1" applyProtection="1"/>
    <xf numFmtId="0" fontId="8" fillId="4" borderId="53" xfId="0" applyFont="1" applyFill="1" applyBorder="1" applyAlignment="1" applyProtection="1"/>
    <xf numFmtId="0" fontId="8" fillId="7" borderId="51" xfId="0" applyFont="1" applyFill="1" applyBorder="1" applyAlignment="1" applyProtection="1">
      <alignment horizontal="center" vertical="center"/>
    </xf>
    <xf numFmtId="0" fontId="8" fillId="7" borderId="54" xfId="0" applyFont="1" applyFill="1" applyBorder="1" applyAlignment="1" applyProtection="1"/>
    <xf numFmtId="0" fontId="8" fillId="4" borderId="54" xfId="0" applyFont="1" applyFill="1" applyBorder="1" applyAlignment="1" applyProtection="1"/>
    <xf numFmtId="0" fontId="8" fillId="4" borderId="55" xfId="0" applyFont="1" applyFill="1" applyBorder="1" applyAlignment="1" applyProtection="1"/>
    <xf numFmtId="9" fontId="8" fillId="7" borderId="19" xfId="2" applyFont="1" applyFill="1" applyBorder="1" applyAlignment="1" applyProtection="1">
      <alignment horizontal="center"/>
    </xf>
    <xf numFmtId="9" fontId="8" fillId="7" borderId="20" xfId="2" applyFont="1" applyFill="1" applyBorder="1" applyAlignment="1" applyProtection="1">
      <alignment horizontal="center"/>
    </xf>
    <xf numFmtId="9" fontId="8" fillId="7" borderId="19" xfId="0" applyNumberFormat="1" applyFont="1" applyFill="1" applyBorder="1" applyAlignment="1" applyProtection="1">
      <alignment horizontal="center"/>
    </xf>
    <xf numFmtId="9" fontId="8" fillId="4" borderId="20" xfId="2" applyFont="1" applyFill="1" applyBorder="1" applyAlignment="1" applyProtection="1">
      <alignment horizontal="center"/>
    </xf>
    <xf numFmtId="164" fontId="8" fillId="7" borderId="19" xfId="0" applyNumberFormat="1" applyFont="1" applyFill="1" applyBorder="1" applyAlignment="1" applyProtection="1">
      <alignment horizontal="center"/>
    </xf>
    <xf numFmtId="9" fontId="8" fillId="4" borderId="20" xfId="0" applyNumberFormat="1" applyFont="1" applyFill="1" applyBorder="1" applyAlignment="1" applyProtection="1">
      <alignment horizontal="center"/>
    </xf>
    <xf numFmtId="164" fontId="8" fillId="4" borderId="20" xfId="2" applyNumberFormat="1" applyFont="1" applyFill="1" applyBorder="1" applyAlignment="1" applyProtection="1">
      <alignment horizontal="center"/>
    </xf>
    <xf numFmtId="0" fontId="25" fillId="7" borderId="4" xfId="0" applyFont="1" applyFill="1" applyBorder="1" applyAlignment="1" applyProtection="1">
      <alignment horizontal="center" vertical="center" textRotation="180" wrapText="1"/>
    </xf>
    <xf numFmtId="9" fontId="8" fillId="4" borderId="22" xfId="2" applyFont="1" applyFill="1" applyBorder="1" applyAlignment="1" applyProtection="1">
      <alignment horizontal="center"/>
    </xf>
    <xf numFmtId="0" fontId="8" fillId="7" borderId="56" xfId="0" applyFont="1" applyFill="1" applyBorder="1" applyAlignment="1" applyProtection="1">
      <alignment horizontal="center"/>
    </xf>
    <xf numFmtId="2" fontId="13" fillId="7" borderId="25" xfId="2" applyNumberFormat="1" applyFont="1" applyFill="1" applyBorder="1" applyAlignment="1" applyProtection="1">
      <alignment horizontal="center" vertical="center"/>
    </xf>
    <xf numFmtId="2" fontId="13" fillId="7" borderId="6" xfId="2" applyNumberFormat="1" applyFont="1" applyFill="1" applyBorder="1" applyAlignment="1" applyProtection="1">
      <alignment horizontal="center" vertical="center"/>
    </xf>
    <xf numFmtId="0" fontId="9" fillId="7" borderId="0" xfId="0" applyFont="1" applyFill="1" applyBorder="1" applyAlignment="1" applyProtection="1">
      <alignment vertical="center"/>
    </xf>
    <xf numFmtId="0" fontId="9" fillId="0" borderId="0" xfId="0" applyFont="1" applyBorder="1" applyAlignment="1" applyProtection="1">
      <alignment horizontal="center"/>
    </xf>
    <xf numFmtId="0" fontId="9" fillId="0" borderId="0" xfId="0" applyFont="1" applyBorder="1" applyProtection="1"/>
    <xf numFmtId="0" fontId="9" fillId="0" borderId="0" xfId="0" applyFont="1" applyBorder="1" applyAlignment="1" applyProtection="1">
      <alignment horizontal="left"/>
    </xf>
    <xf numFmtId="0" fontId="8" fillId="7" borderId="27" xfId="0" applyFont="1" applyFill="1" applyBorder="1" applyAlignment="1" applyProtection="1">
      <alignment horizontal="center"/>
    </xf>
    <xf numFmtId="0" fontId="8" fillId="0" borderId="0" xfId="0" applyFont="1" applyFill="1" applyBorder="1" applyAlignment="1" applyProtection="1">
      <alignment horizontal="left"/>
    </xf>
    <xf numFmtId="9" fontId="5" fillId="4" borderId="57" xfId="0" applyNumberFormat="1" applyFont="1" applyFill="1" applyBorder="1" applyAlignment="1" applyProtection="1">
      <alignment horizontal="center"/>
    </xf>
    <xf numFmtId="9" fontId="37" fillId="4" borderId="0" xfId="0" applyNumberFormat="1" applyFont="1" applyFill="1" applyAlignment="1" applyProtection="1">
      <alignment horizontal="center"/>
    </xf>
    <xf numFmtId="9" fontId="9" fillId="4" borderId="0" xfId="0" applyNumberFormat="1" applyFont="1" applyFill="1" applyBorder="1" applyAlignment="1" applyProtection="1">
      <alignment horizontal="center"/>
    </xf>
    <xf numFmtId="10" fontId="14" fillId="5" borderId="2" xfId="0" applyNumberFormat="1" applyFont="1" applyFill="1" applyBorder="1" applyAlignment="1" applyProtection="1">
      <alignment horizontal="center" vertical="center"/>
    </xf>
    <xf numFmtId="0" fontId="8" fillId="0" borderId="0" xfId="0" applyFont="1" applyProtection="1">
      <protection locked="0"/>
    </xf>
    <xf numFmtId="0" fontId="8" fillId="0" borderId="0" xfId="0" quotePrefix="1" applyFont="1" applyFill="1" applyBorder="1" applyProtection="1"/>
    <xf numFmtId="0" fontId="8" fillId="7" borderId="0" xfId="0" applyFont="1" applyFill="1" applyBorder="1" applyAlignment="1" applyProtection="1">
      <alignment horizontal="center"/>
    </xf>
    <xf numFmtId="0" fontId="8" fillId="0" borderId="0" xfId="0" applyFont="1" applyFill="1" applyBorder="1" applyProtection="1"/>
    <xf numFmtId="0" fontId="13" fillId="7" borderId="1" xfId="0" applyFont="1" applyFill="1" applyBorder="1" applyAlignment="1" applyProtection="1"/>
    <xf numFmtId="0" fontId="9" fillId="4" borderId="0" xfId="0" applyFont="1" applyFill="1" applyBorder="1" applyAlignment="1" applyProtection="1">
      <alignment horizontal="center"/>
    </xf>
    <xf numFmtId="0" fontId="8" fillId="4" borderId="6" xfId="0" applyFont="1" applyFill="1" applyBorder="1" applyAlignment="1" applyProtection="1"/>
    <xf numFmtId="0" fontId="8" fillId="7" borderId="19" xfId="0" applyFont="1" applyFill="1" applyBorder="1" applyAlignment="1" applyProtection="1">
      <alignment horizontal="center"/>
    </xf>
    <xf numFmtId="0" fontId="8" fillId="7" borderId="0" xfId="0" quotePrefix="1" applyFont="1" applyFill="1" applyAlignment="1" applyProtection="1"/>
    <xf numFmtId="0" fontId="8" fillId="7" borderId="0" xfId="0" quotePrefix="1" applyFont="1" applyFill="1" applyBorder="1" applyAlignment="1" applyProtection="1">
      <alignment horizontal="left"/>
    </xf>
    <xf numFmtId="0" fontId="8" fillId="4" borderId="14" xfId="0" applyFont="1" applyFill="1" applyBorder="1" applyAlignment="1" applyProtection="1"/>
    <xf numFmtId="0" fontId="8" fillId="4" borderId="19" xfId="0" applyFont="1" applyFill="1" applyBorder="1" applyAlignment="1" applyProtection="1"/>
    <xf numFmtId="0" fontId="8" fillId="4" borderId="21" xfId="0" applyFont="1" applyFill="1" applyBorder="1" applyAlignment="1" applyProtection="1"/>
    <xf numFmtId="0" fontId="8" fillId="7" borderId="32" xfId="0" applyFont="1" applyFill="1" applyBorder="1" applyAlignment="1" applyProtection="1">
      <alignment horizontal="center"/>
    </xf>
    <xf numFmtId="0" fontId="8" fillId="7" borderId="41" xfId="0" applyFont="1" applyFill="1" applyBorder="1" applyAlignment="1" applyProtection="1">
      <alignment horizontal="center"/>
    </xf>
    <xf numFmtId="0" fontId="13" fillId="7" borderId="0" xfId="0" applyFont="1" applyFill="1" applyBorder="1" applyAlignment="1" applyProtection="1">
      <alignment horizontal="center" vertical="center"/>
    </xf>
    <xf numFmtId="0" fontId="8" fillId="7" borderId="2" xfId="0" applyFont="1" applyFill="1" applyBorder="1" applyAlignment="1" applyProtection="1">
      <alignment horizontal="center"/>
    </xf>
    <xf numFmtId="0" fontId="35" fillId="7" borderId="0" xfId="0" applyFont="1" applyFill="1" applyBorder="1" applyAlignment="1" applyProtection="1">
      <alignment horizontal="center"/>
    </xf>
    <xf numFmtId="0" fontId="8" fillId="7" borderId="0" xfId="0" applyFont="1" applyFill="1" applyBorder="1" applyAlignment="1" applyProtection="1">
      <alignment horizontal="left"/>
    </xf>
    <xf numFmtId="0" fontId="25" fillId="7" borderId="1" xfId="0" applyFont="1" applyFill="1" applyBorder="1" applyAlignment="1" applyProtection="1">
      <alignment horizontal="center" vertical="center" textRotation="180" wrapText="1"/>
    </xf>
    <xf numFmtId="10" fontId="9" fillId="7" borderId="0" xfId="2" applyNumberFormat="1" applyFont="1" applyFill="1" applyBorder="1" applyProtection="1"/>
    <xf numFmtId="0" fontId="14" fillId="7" borderId="2" xfId="0" applyFont="1" applyFill="1" applyBorder="1" applyProtection="1">
      <protection hidden="1"/>
    </xf>
    <xf numFmtId="0" fontId="14" fillId="0" borderId="2" xfId="0" applyFont="1" applyBorder="1" applyProtection="1">
      <protection hidden="1"/>
    </xf>
    <xf numFmtId="0" fontId="14" fillId="6" borderId="2" xfId="0" applyFont="1" applyFill="1" applyBorder="1" applyProtection="1">
      <protection hidden="1"/>
    </xf>
    <xf numFmtId="0" fontId="12" fillId="7" borderId="0" xfId="0" applyFont="1" applyFill="1" applyBorder="1" applyProtection="1"/>
    <xf numFmtId="0" fontId="12" fillId="7" borderId="0" xfId="0" applyFont="1" applyFill="1" applyBorder="1" applyAlignment="1" applyProtection="1"/>
    <xf numFmtId="0" fontId="12" fillId="7" borderId="27" xfId="0" applyFont="1" applyFill="1" applyBorder="1" applyAlignment="1" applyProtection="1"/>
    <xf numFmtId="0" fontId="14" fillId="7" borderId="20" xfId="0" applyFont="1" applyFill="1" applyBorder="1" applyAlignment="1" applyProtection="1">
      <alignment horizontal="center"/>
      <protection hidden="1"/>
    </xf>
    <xf numFmtId="169" fontId="14" fillId="7" borderId="20" xfId="0" applyNumberFormat="1" applyFont="1" applyFill="1" applyBorder="1" applyProtection="1">
      <protection hidden="1"/>
    </xf>
    <xf numFmtId="169" fontId="14" fillId="0" borderId="20" xfId="0" applyNumberFormat="1" applyFont="1" applyBorder="1" applyProtection="1">
      <protection hidden="1"/>
    </xf>
    <xf numFmtId="169" fontId="14" fillId="6" borderId="20" xfId="0" applyNumberFormat="1" applyFont="1" applyFill="1" applyBorder="1" applyProtection="1">
      <protection hidden="1"/>
    </xf>
    <xf numFmtId="0" fontId="13" fillId="7" borderId="4" xfId="0" quotePrefix="1" applyFont="1" applyFill="1" applyBorder="1" applyAlignment="1" applyProtection="1">
      <alignment horizontal="center" vertical="center"/>
    </xf>
    <xf numFmtId="0" fontId="8" fillId="7" borderId="5" xfId="0" applyFont="1" applyFill="1" applyBorder="1" applyAlignment="1" applyProtection="1">
      <alignment horizontal="left"/>
    </xf>
    <xf numFmtId="9" fontId="8" fillId="7" borderId="6" xfId="2" applyFont="1" applyFill="1" applyBorder="1" applyAlignment="1" applyProtection="1">
      <alignment horizontal="center"/>
    </xf>
    <xf numFmtId="0" fontId="14" fillId="7" borderId="14" xfId="0" applyFont="1" applyFill="1" applyBorder="1" applyAlignment="1" applyProtection="1">
      <alignment horizontal="center"/>
      <protection hidden="1"/>
    </xf>
    <xf numFmtId="0" fontId="14" fillId="7" borderId="14" xfId="0" applyFont="1" applyFill="1" applyBorder="1" applyProtection="1">
      <protection hidden="1"/>
    </xf>
    <xf numFmtId="0" fontId="13" fillId="7" borderId="19" xfId="0" applyFont="1" applyFill="1" applyBorder="1" applyAlignment="1" applyProtection="1">
      <alignment horizontal="center" vertical="center"/>
    </xf>
    <xf numFmtId="0" fontId="8" fillId="7" borderId="19" xfId="0" applyFont="1" applyFill="1" applyBorder="1" applyProtection="1"/>
    <xf numFmtId="0" fontId="41" fillId="7" borderId="32" xfId="0" applyFont="1" applyFill="1" applyBorder="1" applyAlignment="1" applyProtection="1">
      <alignment horizontal="center" vertical="center"/>
    </xf>
    <xf numFmtId="9" fontId="8" fillId="7" borderId="3" xfId="2" applyFont="1" applyFill="1" applyBorder="1" applyAlignment="1" applyProtection="1">
      <alignment horizontal="center"/>
    </xf>
    <xf numFmtId="169" fontId="8" fillId="7" borderId="0" xfId="0" applyNumberFormat="1" applyFont="1" applyFill="1" applyBorder="1" applyProtection="1"/>
    <xf numFmtId="1" fontId="42" fillId="7" borderId="0" xfId="0" applyNumberFormat="1" applyFont="1" applyFill="1" applyBorder="1" applyAlignment="1" applyProtection="1">
      <alignment horizontal="center"/>
    </xf>
    <xf numFmtId="0" fontId="42" fillId="7" borderId="0" xfId="0" applyFont="1" applyFill="1" applyBorder="1" applyProtection="1"/>
    <xf numFmtId="1" fontId="42" fillId="4" borderId="3" xfId="0" applyNumberFormat="1" applyFont="1" applyFill="1" applyBorder="1" applyProtection="1"/>
    <xf numFmtId="1" fontId="38" fillId="7" borderId="3" xfId="0" applyNumberFormat="1" applyFont="1" applyFill="1" applyBorder="1" applyProtection="1"/>
    <xf numFmtId="0" fontId="38" fillId="7" borderId="3" xfId="0" applyNumberFormat="1" applyFont="1" applyFill="1" applyBorder="1" applyProtection="1"/>
    <xf numFmtId="0" fontId="38" fillId="7" borderId="3" xfId="0" applyFont="1" applyFill="1" applyBorder="1" applyProtection="1"/>
    <xf numFmtId="164" fontId="8" fillId="0" borderId="0" xfId="0" applyNumberFormat="1" applyFont="1" applyBorder="1" applyAlignment="1" applyProtection="1">
      <alignment horizontal="center"/>
    </xf>
    <xf numFmtId="0" fontId="21" fillId="4" borderId="34" xfId="0" applyFont="1" applyFill="1" applyBorder="1" applyAlignment="1" applyProtection="1">
      <alignment horizontal="center" vertical="center"/>
      <protection locked="0"/>
    </xf>
    <xf numFmtId="0" fontId="21" fillId="4" borderId="38" xfId="0" applyFont="1" applyFill="1" applyBorder="1" applyAlignment="1" applyProtection="1">
      <alignment horizontal="center" vertical="center"/>
      <protection locked="0"/>
    </xf>
    <xf numFmtId="0" fontId="35" fillId="0" borderId="0" xfId="0" applyFont="1" applyProtection="1"/>
    <xf numFmtId="1" fontId="32" fillId="4" borderId="0" xfId="0" applyNumberFormat="1" applyFont="1" applyFill="1" applyAlignment="1" applyProtection="1">
      <alignment horizontal="center"/>
    </xf>
    <xf numFmtId="1" fontId="32" fillId="4" borderId="0" xfId="0" applyNumberFormat="1" applyFont="1" applyFill="1" applyAlignment="1" applyProtection="1">
      <alignment horizontal="center" vertical="center"/>
    </xf>
    <xf numFmtId="0" fontId="35" fillId="0" borderId="0" xfId="0" applyFont="1" applyAlignment="1" applyProtection="1">
      <alignment horizontal="left"/>
    </xf>
    <xf numFmtId="0" fontId="46" fillId="0" borderId="0" xfId="0" applyFont="1" applyBorder="1" applyAlignment="1" applyProtection="1">
      <alignment horizontal="center"/>
    </xf>
    <xf numFmtId="0" fontId="8" fillId="7" borderId="2" xfId="0" applyFont="1" applyFill="1" applyBorder="1" applyAlignment="1" applyProtection="1">
      <alignment horizontal="left" vertical="center"/>
    </xf>
    <xf numFmtId="167" fontId="8" fillId="4" borderId="2" xfId="0" applyNumberFormat="1" applyFont="1" applyFill="1" applyBorder="1" applyAlignment="1" applyProtection="1">
      <alignment horizontal="center" vertical="center"/>
    </xf>
    <xf numFmtId="0" fontId="8" fillId="7" borderId="14" xfId="0" applyFont="1" applyFill="1" applyBorder="1" applyAlignment="1" applyProtection="1">
      <alignment horizontal="left" vertical="center"/>
    </xf>
    <xf numFmtId="0" fontId="8" fillId="4" borderId="2" xfId="0" applyFont="1" applyFill="1" applyBorder="1" applyAlignment="1" applyProtection="1">
      <alignment horizontal="center" vertical="center"/>
    </xf>
    <xf numFmtId="0" fontId="8" fillId="3" borderId="2" xfId="0" applyFont="1" applyFill="1" applyBorder="1" applyAlignment="1" applyProtection="1">
      <alignment horizontal="center"/>
      <protection locked="0"/>
    </xf>
    <xf numFmtId="0" fontId="8" fillId="7" borderId="2" xfId="0" applyFont="1" applyFill="1" applyBorder="1" applyAlignment="1" applyProtection="1">
      <alignment horizontal="center" vertical="center"/>
    </xf>
    <xf numFmtId="0" fontId="8" fillId="8" borderId="2" xfId="0" applyFont="1" applyFill="1" applyBorder="1" applyAlignment="1" applyProtection="1">
      <alignment horizontal="center" vertical="center"/>
    </xf>
    <xf numFmtId="167" fontId="8" fillId="8" borderId="2" xfId="0" applyNumberFormat="1" applyFont="1" applyFill="1" applyBorder="1" applyAlignment="1" applyProtection="1">
      <alignment horizontal="center" vertical="center"/>
    </xf>
    <xf numFmtId="169" fontId="8" fillId="7" borderId="0" xfId="0" applyNumberFormat="1" applyFont="1" applyFill="1" applyAlignment="1" applyProtection="1">
      <alignment horizontal="center"/>
    </xf>
    <xf numFmtId="0" fontId="5" fillId="7" borderId="8" xfId="0" applyFont="1" applyFill="1" applyBorder="1" applyAlignment="1" applyProtection="1">
      <alignment horizontal="center"/>
    </xf>
    <xf numFmtId="0" fontId="5" fillId="7" borderId="58" xfId="0" applyFont="1" applyFill="1" applyBorder="1" applyAlignment="1" applyProtection="1">
      <alignment horizontal="center" vertical="top"/>
    </xf>
    <xf numFmtId="0" fontId="47" fillId="7" borderId="3" xfId="0" applyFont="1" applyFill="1" applyBorder="1" applyAlignment="1" applyProtection="1">
      <alignment horizontal="center" vertical="center"/>
    </xf>
    <xf numFmtId="0" fontId="35" fillId="7" borderId="0" xfId="0" applyFont="1" applyFill="1" applyBorder="1" applyAlignment="1" applyProtection="1">
      <alignment horizontal="center" vertical="center"/>
    </xf>
    <xf numFmtId="0" fontId="39" fillId="7" borderId="1" xfId="0" applyFont="1" applyFill="1" applyBorder="1" applyAlignment="1" applyProtection="1">
      <alignment horizontal="center" vertical="center"/>
    </xf>
    <xf numFmtId="0" fontId="39" fillId="7" borderId="0" xfId="0" applyFont="1" applyFill="1" applyBorder="1" applyAlignment="1" applyProtection="1">
      <alignment horizontal="center" vertical="center"/>
    </xf>
    <xf numFmtId="0" fontId="39" fillId="7" borderId="27" xfId="0" applyFont="1" applyFill="1" applyBorder="1" applyAlignment="1" applyProtection="1">
      <alignment horizontal="center" vertical="center"/>
    </xf>
    <xf numFmtId="0" fontId="8" fillId="0" borderId="0" xfId="0" applyFont="1" applyBorder="1" applyAlignment="1" applyProtection="1">
      <alignment horizontal="left"/>
    </xf>
    <xf numFmtId="0" fontId="8" fillId="7" borderId="13" xfId="0" applyFont="1" applyFill="1" applyBorder="1" applyAlignment="1" applyProtection="1">
      <alignment horizontal="center"/>
    </xf>
    <xf numFmtId="0" fontId="8" fillId="7" borderId="30" xfId="0" applyFont="1" applyFill="1" applyBorder="1" applyAlignment="1" applyProtection="1">
      <alignment horizontal="center"/>
    </xf>
    <xf numFmtId="0" fontId="8" fillId="0" borderId="0" xfId="0" applyFont="1" applyBorder="1" applyAlignment="1" applyProtection="1">
      <alignment horizontal="center"/>
    </xf>
    <xf numFmtId="0" fontId="8" fillId="0" borderId="0" xfId="0" quotePrefix="1" applyFont="1" applyBorder="1" applyAlignment="1" applyProtection="1">
      <alignment horizontal="left"/>
    </xf>
    <xf numFmtId="1" fontId="8" fillId="0" borderId="0" xfId="0" applyNumberFormat="1" applyFont="1" applyBorder="1" applyAlignment="1" applyProtection="1">
      <alignment horizontal="center"/>
    </xf>
    <xf numFmtId="0" fontId="8" fillId="0" borderId="0" xfId="0" quotePrefix="1" applyFont="1" applyAlignment="1" applyProtection="1">
      <alignment horizontal="center"/>
    </xf>
    <xf numFmtId="0" fontId="8" fillId="0" borderId="9" xfId="0" quotePrefix="1" applyFont="1" applyBorder="1" applyAlignment="1" applyProtection="1">
      <alignment horizontal="center" vertical="center" wrapText="1"/>
    </xf>
    <xf numFmtId="0" fontId="8" fillId="0" borderId="10" xfId="0" quotePrefix="1" applyFont="1" applyBorder="1" applyAlignment="1" applyProtection="1">
      <alignment horizontal="center" vertical="center" wrapText="1"/>
    </xf>
    <xf numFmtId="0" fontId="8" fillId="0" borderId="8" xfId="0" quotePrefix="1" applyFont="1" applyBorder="1" applyAlignment="1" applyProtection="1">
      <alignment horizontal="center" vertical="center" wrapText="1"/>
    </xf>
    <xf numFmtId="0" fontId="8" fillId="0" borderId="26" xfId="0" quotePrefix="1" applyFont="1" applyBorder="1" applyAlignment="1" applyProtection="1">
      <alignment horizontal="center" vertical="center" wrapText="1"/>
    </xf>
    <xf numFmtId="0" fontId="8" fillId="0" borderId="0" xfId="0" quotePrefix="1" applyFont="1" applyBorder="1" applyAlignment="1" applyProtection="1">
      <alignment horizontal="center" vertical="center" wrapText="1"/>
    </xf>
    <xf numFmtId="0" fontId="8" fillId="0" borderId="27" xfId="0" quotePrefix="1" applyFont="1" applyBorder="1" applyAlignment="1" applyProtection="1">
      <alignment horizontal="center" vertical="center" wrapText="1"/>
    </xf>
    <xf numFmtId="0" fontId="8" fillId="0" borderId="11" xfId="0" quotePrefix="1" applyFont="1" applyBorder="1" applyAlignment="1" applyProtection="1">
      <alignment horizontal="center" vertical="center" wrapText="1"/>
    </xf>
    <xf numFmtId="0" fontId="8" fillId="0" borderId="12" xfId="0" quotePrefix="1" applyFont="1" applyBorder="1" applyAlignment="1" applyProtection="1">
      <alignment horizontal="center" vertical="center" wrapText="1"/>
    </xf>
    <xf numFmtId="0" fontId="8" fillId="0" borderId="13" xfId="0" quotePrefix="1" applyFont="1" applyBorder="1" applyAlignment="1" applyProtection="1">
      <alignment horizontal="center" vertical="center" wrapText="1"/>
    </xf>
    <xf numFmtId="0" fontId="5" fillId="7" borderId="50" xfId="0" applyFont="1" applyFill="1" applyBorder="1" applyAlignment="1" applyProtection="1">
      <alignment horizontal="center" vertical="center" textRotation="180" wrapText="1"/>
    </xf>
    <xf numFmtId="0" fontId="36" fillId="0" borderId="0" xfId="0" applyFont="1" applyBorder="1" applyAlignment="1" applyProtection="1">
      <alignment horizontal="center"/>
    </xf>
    <xf numFmtId="0" fontId="8" fillId="7" borderId="0" xfId="0" applyFont="1" applyFill="1" applyAlignment="1" applyProtection="1">
      <alignment horizontal="left"/>
    </xf>
    <xf numFmtId="0" fontId="13" fillId="7" borderId="1" xfId="0" applyFont="1" applyFill="1" applyBorder="1" applyAlignment="1" applyProtection="1">
      <alignment horizontal="center" vertical="center"/>
    </xf>
    <xf numFmtId="0" fontId="13" fillId="7" borderId="0" xfId="0" applyFont="1" applyFill="1" applyBorder="1" applyAlignment="1" applyProtection="1">
      <alignment horizontal="center" vertical="center"/>
    </xf>
    <xf numFmtId="0" fontId="5" fillId="7" borderId="0" xfId="0" applyNumberFormat="1" applyFont="1" applyFill="1" applyBorder="1" applyAlignment="1" applyProtection="1">
      <alignment horizontal="left"/>
    </xf>
    <xf numFmtId="0" fontId="5" fillId="7" borderId="1" xfId="0" applyFont="1" applyFill="1" applyBorder="1" applyAlignment="1" applyProtection="1">
      <alignment horizontal="center"/>
    </xf>
    <xf numFmtId="0" fontId="5" fillId="7" borderId="0" xfId="0" applyFont="1" applyFill="1" applyBorder="1" applyAlignment="1" applyProtection="1">
      <alignment horizontal="center"/>
    </xf>
    <xf numFmtId="0" fontId="8" fillId="7" borderId="1" xfId="0" applyFont="1" applyFill="1" applyBorder="1" applyAlignment="1" applyProtection="1">
      <alignment horizontal="center"/>
    </xf>
    <xf numFmtId="0" fontId="8" fillId="7" borderId="27" xfId="0" applyFont="1" applyFill="1" applyBorder="1" applyAlignment="1" applyProtection="1">
      <alignment horizontal="center"/>
    </xf>
    <xf numFmtId="0" fontId="8" fillId="7" borderId="0" xfId="0" applyFont="1" applyFill="1" applyBorder="1" applyAlignment="1" applyProtection="1">
      <alignment horizontal="center"/>
    </xf>
    <xf numFmtId="0" fontId="8" fillId="2" borderId="14" xfId="0" applyFont="1" applyFill="1" applyBorder="1" applyAlignment="1" applyProtection="1">
      <alignment horizontal="left" vertical="center"/>
    </xf>
    <xf numFmtId="0" fontId="8" fillId="2" borderId="2" xfId="0" applyFont="1" applyFill="1" applyBorder="1" applyAlignment="1" applyProtection="1">
      <alignment horizontal="left" vertical="center"/>
    </xf>
    <xf numFmtId="0" fontId="35" fillId="7" borderId="0" xfId="0" quotePrefix="1" applyFont="1" applyFill="1" applyBorder="1" applyAlignment="1" applyProtection="1">
      <alignment horizontal="center"/>
    </xf>
    <xf numFmtId="0" fontId="35" fillId="7" borderId="0" xfId="0" applyFont="1" applyFill="1" applyBorder="1" applyAlignment="1" applyProtection="1">
      <alignment horizontal="center"/>
    </xf>
    <xf numFmtId="0" fontId="44" fillId="7" borderId="2" xfId="0" applyFont="1" applyFill="1" applyBorder="1" applyAlignment="1" applyProtection="1">
      <alignment horizontal="center" vertical="center" wrapText="1"/>
    </xf>
    <xf numFmtId="0" fontId="8" fillId="4" borderId="35" xfId="0" applyFont="1" applyFill="1" applyBorder="1" applyAlignment="1" applyProtection="1">
      <alignment horizontal="center" vertical="center"/>
    </xf>
    <xf numFmtId="0" fontId="8" fillId="4" borderId="37" xfId="0" applyFont="1" applyFill="1" applyBorder="1" applyAlignment="1" applyProtection="1">
      <alignment horizontal="center" vertical="center"/>
    </xf>
    <xf numFmtId="0" fontId="21" fillId="7" borderId="16" xfId="0" applyFont="1" applyFill="1" applyBorder="1" applyAlignment="1" applyProtection="1">
      <alignment horizontal="center" vertical="center"/>
    </xf>
    <xf numFmtId="0" fontId="21" fillId="7" borderId="31" xfId="0" applyFont="1" applyFill="1" applyBorder="1" applyAlignment="1" applyProtection="1">
      <alignment horizontal="center" vertical="center"/>
    </xf>
    <xf numFmtId="0" fontId="22" fillId="7" borderId="0" xfId="0" applyFont="1" applyFill="1" applyBorder="1" applyAlignment="1" applyProtection="1">
      <alignment horizontal="center"/>
    </xf>
    <xf numFmtId="0" fontId="8" fillId="4" borderId="14" xfId="0" applyFont="1" applyFill="1" applyBorder="1" applyAlignment="1" applyProtection="1">
      <alignment horizontal="center" vertical="center"/>
    </xf>
    <xf numFmtId="0" fontId="8" fillId="4" borderId="2" xfId="0" applyFont="1" applyFill="1" applyBorder="1" applyAlignment="1" applyProtection="1">
      <alignment horizontal="center" vertical="center"/>
    </xf>
    <xf numFmtId="0" fontId="8" fillId="0" borderId="0" xfId="0" applyFont="1" applyFill="1" applyBorder="1" applyAlignment="1" applyProtection="1">
      <alignment horizontal="left"/>
    </xf>
    <xf numFmtId="0" fontId="16" fillId="7" borderId="24" xfId="0" applyFont="1" applyFill="1" applyBorder="1" applyAlignment="1" applyProtection="1">
      <alignment horizontal="center" vertical="center" wrapText="1"/>
    </xf>
    <xf numFmtId="0" fontId="16" fillId="7" borderId="25" xfId="0" applyFont="1" applyFill="1" applyBorder="1" applyAlignment="1" applyProtection="1">
      <alignment horizontal="center" vertical="center" wrapText="1"/>
    </xf>
    <xf numFmtId="0" fontId="16" fillId="7" borderId="0" xfId="0" applyFont="1" applyFill="1" applyBorder="1" applyAlignment="1" applyProtection="1">
      <alignment horizontal="center" vertical="center" wrapText="1"/>
    </xf>
    <xf numFmtId="0" fontId="16" fillId="7" borderId="3" xfId="0" applyFont="1" applyFill="1" applyBorder="1" applyAlignment="1" applyProtection="1">
      <alignment horizontal="center" vertical="center" wrapText="1"/>
    </xf>
    <xf numFmtId="0" fontId="16" fillId="7" borderId="5" xfId="0" applyFont="1" applyFill="1" applyBorder="1" applyAlignment="1" applyProtection="1">
      <alignment horizontal="center" vertical="center" wrapText="1"/>
    </xf>
    <xf numFmtId="0" fontId="16" fillId="7" borderId="6" xfId="0" applyFont="1" applyFill="1" applyBorder="1" applyAlignment="1" applyProtection="1">
      <alignment horizontal="center" vertical="center" wrapText="1"/>
    </xf>
    <xf numFmtId="0" fontId="33" fillId="7" borderId="0" xfId="0" quotePrefix="1" applyFont="1" applyFill="1" applyBorder="1" applyAlignment="1" applyProtection="1">
      <alignment horizontal="center" vertical="center"/>
    </xf>
    <xf numFmtId="0" fontId="33" fillId="7" borderId="0" xfId="0" applyFont="1" applyFill="1" applyBorder="1" applyAlignment="1" applyProtection="1">
      <alignment horizontal="center" vertical="center"/>
    </xf>
    <xf numFmtId="0" fontId="32" fillId="0" borderId="0" xfId="0" applyFont="1" applyBorder="1" applyAlignment="1" applyProtection="1">
      <alignment horizontal="center"/>
    </xf>
    <xf numFmtId="0" fontId="37" fillId="7" borderId="57" xfId="0" applyFont="1" applyFill="1" applyBorder="1" applyAlignment="1" applyProtection="1">
      <alignment horizontal="center" vertical="center" textRotation="180" wrapText="1"/>
    </xf>
    <xf numFmtId="0" fontId="37" fillId="7" borderId="50" xfId="0" applyFont="1" applyFill="1" applyBorder="1" applyAlignment="1" applyProtection="1">
      <alignment horizontal="center" vertical="center" textRotation="180" wrapText="1"/>
    </xf>
    <xf numFmtId="0" fontId="8" fillId="10" borderId="9" xfId="0" applyFont="1" applyFill="1" applyBorder="1" applyAlignment="1" applyProtection="1">
      <alignment horizontal="center" vertical="center"/>
    </xf>
    <xf numFmtId="0" fontId="8" fillId="10" borderId="8" xfId="0" applyFont="1" applyFill="1" applyBorder="1" applyAlignment="1" applyProtection="1">
      <alignment horizontal="center" vertical="center"/>
    </xf>
    <xf numFmtId="1" fontId="29" fillId="4" borderId="0" xfId="0" applyNumberFormat="1" applyFont="1" applyFill="1" applyBorder="1" applyAlignment="1" applyProtection="1">
      <alignment horizontal="center"/>
    </xf>
    <xf numFmtId="0" fontId="8" fillId="7" borderId="0" xfId="0" applyFont="1" applyFill="1" applyBorder="1" applyAlignment="1" applyProtection="1">
      <alignment horizontal="left"/>
    </xf>
    <xf numFmtId="0" fontId="8" fillId="7" borderId="3" xfId="0" applyFont="1" applyFill="1" applyBorder="1" applyAlignment="1" applyProtection="1">
      <alignment horizontal="left"/>
    </xf>
    <xf numFmtId="1" fontId="14" fillId="11" borderId="0" xfId="0" applyNumberFormat="1" applyFont="1" applyFill="1" applyBorder="1" applyAlignment="1" applyProtection="1">
      <alignment horizontal="center" vertical="center"/>
      <protection hidden="1"/>
    </xf>
    <xf numFmtId="1" fontId="14" fillId="11" borderId="3" xfId="0" applyNumberFormat="1" applyFont="1" applyFill="1" applyBorder="1" applyAlignment="1" applyProtection="1">
      <alignment horizontal="center" vertical="center"/>
      <protection hidden="1"/>
    </xf>
    <xf numFmtId="0" fontId="8" fillId="7" borderId="52" xfId="0" applyFont="1" applyFill="1" applyBorder="1" applyAlignment="1" applyProtection="1">
      <alignment horizontal="center" vertical="center"/>
    </xf>
    <xf numFmtId="0" fontId="8" fillId="7" borderId="47" xfId="0" applyFont="1" applyFill="1" applyBorder="1" applyAlignment="1" applyProtection="1">
      <alignment horizontal="center" vertical="center"/>
    </xf>
    <xf numFmtId="0" fontId="8" fillId="7" borderId="51" xfId="0" applyFont="1" applyFill="1" applyBorder="1" applyAlignment="1" applyProtection="1">
      <alignment horizontal="center" vertical="center"/>
    </xf>
    <xf numFmtId="0" fontId="8" fillId="7" borderId="18" xfId="0" applyFont="1" applyFill="1" applyBorder="1" applyAlignment="1" applyProtection="1">
      <alignment horizontal="center" vertical="center" wrapText="1"/>
    </xf>
    <xf numFmtId="0" fontId="8" fillId="7" borderId="21" xfId="0" applyFont="1" applyFill="1" applyBorder="1" applyAlignment="1" applyProtection="1">
      <alignment horizontal="center" vertical="center" wrapText="1"/>
    </xf>
    <xf numFmtId="0" fontId="32" fillId="7" borderId="52" xfId="0" applyFont="1" applyFill="1" applyBorder="1" applyAlignment="1" applyProtection="1">
      <alignment horizontal="center" vertical="center"/>
    </xf>
    <xf numFmtId="0" fontId="32" fillId="7" borderId="47" xfId="0" applyFont="1" applyFill="1" applyBorder="1" applyAlignment="1" applyProtection="1">
      <alignment horizontal="center" vertical="center"/>
    </xf>
    <xf numFmtId="0" fontId="32" fillId="7" borderId="51" xfId="0" applyFont="1" applyFill="1" applyBorder="1" applyAlignment="1" applyProtection="1">
      <alignment horizontal="center" vertical="center"/>
    </xf>
    <xf numFmtId="0" fontId="8" fillId="7" borderId="2" xfId="0" applyFont="1" applyFill="1" applyBorder="1" applyAlignment="1" applyProtection="1">
      <alignment horizontal="center"/>
    </xf>
    <xf numFmtId="0" fontId="8" fillId="7" borderId="20" xfId="0" applyFont="1" applyFill="1" applyBorder="1" applyAlignment="1" applyProtection="1">
      <alignment horizontal="center"/>
    </xf>
    <xf numFmtId="0" fontId="8" fillId="7" borderId="7" xfId="0" applyFont="1" applyFill="1" applyBorder="1" applyAlignment="1" applyProtection="1">
      <alignment horizontal="center" vertical="center" wrapText="1"/>
    </xf>
    <xf numFmtId="0" fontId="8" fillId="7" borderId="22" xfId="0" applyFont="1" applyFill="1" applyBorder="1" applyAlignment="1" applyProtection="1">
      <alignment horizontal="center" vertical="center" wrapText="1"/>
    </xf>
    <xf numFmtId="0" fontId="9" fillId="0" borderId="0" xfId="0" applyFont="1" applyBorder="1" applyAlignment="1" applyProtection="1">
      <alignment horizontal="left"/>
    </xf>
    <xf numFmtId="0" fontId="8" fillId="7" borderId="0" xfId="0" applyFont="1" applyFill="1" applyBorder="1" applyAlignment="1" applyProtection="1">
      <alignment horizontal="left" vertical="center"/>
    </xf>
    <xf numFmtId="0" fontId="8" fillId="7" borderId="3" xfId="0" applyFont="1" applyFill="1" applyBorder="1" applyAlignment="1" applyProtection="1">
      <alignment horizontal="left" vertical="center"/>
    </xf>
    <xf numFmtId="0" fontId="9" fillId="7" borderId="12" xfId="0" applyFont="1" applyFill="1" applyBorder="1" applyAlignment="1" applyProtection="1">
      <alignment horizontal="center" vertical="center"/>
    </xf>
    <xf numFmtId="0" fontId="8" fillId="7" borderId="26" xfId="0" applyFont="1" applyFill="1" applyBorder="1" applyAlignment="1" applyProtection="1">
      <alignment horizontal="center"/>
    </xf>
    <xf numFmtId="0" fontId="13" fillId="10" borderId="0" xfId="0" applyFont="1" applyFill="1" applyBorder="1" applyAlignment="1" applyProtection="1">
      <alignment horizontal="left" vertical="center" wrapText="1"/>
    </xf>
    <xf numFmtId="0" fontId="13" fillId="10" borderId="27" xfId="0" applyFont="1" applyFill="1" applyBorder="1" applyAlignment="1" applyProtection="1">
      <alignment horizontal="left" vertical="center" wrapText="1"/>
    </xf>
    <xf numFmtId="0" fontId="15" fillId="3" borderId="5" xfId="0" applyNumberFormat="1" applyFont="1" applyFill="1" applyBorder="1" applyAlignment="1" applyProtection="1">
      <alignment horizontal="center"/>
    </xf>
    <xf numFmtId="0" fontId="8" fillId="7" borderId="3" xfId="0" applyFont="1" applyFill="1" applyBorder="1" applyAlignment="1" applyProtection="1">
      <alignment horizontal="center"/>
    </xf>
    <xf numFmtId="0" fontId="5" fillId="7" borderId="26" xfId="0" applyFont="1" applyFill="1" applyBorder="1" applyAlignment="1" applyProtection="1">
      <alignment horizontal="center"/>
    </xf>
    <xf numFmtId="0" fontId="5" fillId="7" borderId="27" xfId="0" applyFont="1" applyFill="1" applyBorder="1" applyAlignment="1" applyProtection="1">
      <alignment horizontal="center"/>
    </xf>
    <xf numFmtId="0" fontId="12" fillId="7" borderId="10" xfId="0" applyFont="1" applyFill="1" applyBorder="1" applyAlignment="1" applyProtection="1">
      <alignment horizontal="center"/>
    </xf>
    <xf numFmtId="0" fontId="9" fillId="3" borderId="0" xfId="0" applyFont="1" applyFill="1" applyBorder="1" applyAlignment="1" applyProtection="1">
      <alignment horizontal="center" vertical="center"/>
      <protection locked="0"/>
    </xf>
    <xf numFmtId="170" fontId="8" fillId="7" borderId="0" xfId="2" applyNumberFormat="1" applyFont="1" applyFill="1" applyBorder="1" applyAlignment="1" applyProtection="1">
      <alignment horizontal="center"/>
    </xf>
    <xf numFmtId="0" fontId="12" fillId="0" borderId="0" xfId="0" applyFont="1" applyBorder="1" applyAlignment="1" applyProtection="1">
      <alignment horizontal="center"/>
    </xf>
    <xf numFmtId="0" fontId="25" fillId="7" borderId="23" xfId="0" applyFont="1" applyFill="1" applyBorder="1" applyAlignment="1" applyProtection="1">
      <alignment horizontal="center" vertical="center" textRotation="180" wrapText="1"/>
    </xf>
    <xf numFmtId="0" fontId="25" fillId="7" borderId="1" xfId="0" applyFont="1" applyFill="1" applyBorder="1" applyAlignment="1" applyProtection="1">
      <alignment horizontal="center" vertical="center" textRotation="180" wrapText="1"/>
    </xf>
    <xf numFmtId="0" fontId="25" fillId="7" borderId="36" xfId="0" applyFont="1" applyFill="1" applyBorder="1" applyAlignment="1" applyProtection="1">
      <alignment horizontal="center" vertical="center" textRotation="180" wrapText="1"/>
    </xf>
    <xf numFmtId="0" fontId="25" fillId="7" borderId="37" xfId="0" applyFont="1" applyFill="1" applyBorder="1" applyAlignment="1" applyProtection="1">
      <alignment horizontal="center" vertical="center" textRotation="180" wrapText="1"/>
    </xf>
  </cellXfs>
  <cellStyles count="3">
    <cellStyle name="Hyperlink" xfId="1" builtinId="8"/>
    <cellStyle name="Normal" xfId="0" builtinId="0"/>
    <cellStyle name="Procent" xfId="2" builtinId="5"/>
  </cellStyles>
  <dxfs count="0"/>
  <tableStyles count="0" defaultTableStyle="TableStyleMedium9" defaultPivotStyle="PivotStyleLight16"/>
  <colors>
    <mruColors>
      <color rgb="FFFFFF00"/>
      <color rgb="FFFFFFCC"/>
      <color rgb="FF00FFFF"/>
      <color rgb="FFFFFFFF"/>
      <color rgb="FFF2F2F2"/>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60</xdr:col>
      <xdr:colOff>8036</xdr:colOff>
      <xdr:row>36</xdr:row>
      <xdr:rowOff>238126</xdr:rowOff>
    </xdr:from>
    <xdr:to>
      <xdr:col>62</xdr:col>
      <xdr:colOff>399118</xdr:colOff>
      <xdr:row>43</xdr:row>
      <xdr:rowOff>219076</xdr:rowOff>
    </xdr:to>
    <xdr:pic>
      <xdr:nvPicPr>
        <xdr:cNvPr id="2" name="Picture 9" descr="Stroh rum med hhv 60 og 80 procent alkohol"/>
        <xdr:cNvPicPr>
          <a:picLocks noChangeAspect="1" noChangeArrowheads="1"/>
        </xdr:cNvPicPr>
      </xdr:nvPicPr>
      <xdr:blipFill>
        <a:blip xmlns:r="http://schemas.openxmlformats.org/officeDocument/2006/relationships" r:embed="rId1" cstate="print"/>
        <a:srcRect/>
        <a:stretch>
          <a:fillRect/>
        </a:stretch>
      </xdr:blipFill>
      <xdr:spPr bwMode="auto">
        <a:xfrm>
          <a:off x="63339761" y="9401176"/>
          <a:ext cx="1781732" cy="1714500"/>
        </a:xfrm>
        <a:prstGeom prst="rect">
          <a:avLst/>
        </a:prstGeom>
        <a:noFill/>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walter-lystfisker.dk/" TargetMode="External"/><Relationship Id="rId7" Type="http://schemas.openxmlformats.org/officeDocument/2006/relationships/hyperlink" Target="https://www.food.dtu.dk/-/media/Institutter/Foedevareinstituttet/Publikationer/Pub-2010/Den-lille-Levnedsmiddeltabel-4-udgave.ashx?la=da&amp;hash=4A2D6BE36E9AA467C68437BFD0C7B284ED75EE84" TargetMode="External"/><Relationship Id="rId2" Type="http://schemas.openxmlformats.org/officeDocument/2006/relationships/hyperlink" Target="https://vinguruen.dk/blogs/vin-leksikon/hvad-er-glycerin-en-almindeligt-anvendt-fugtgiver-i-vinindustrien" TargetMode="External"/><Relationship Id="rId1" Type="http://schemas.openxmlformats.org/officeDocument/2006/relationships/hyperlink" Target="https://da.wikipedia.org/wiki/Glycerin" TargetMode="External"/><Relationship Id="rId6" Type="http://schemas.openxmlformats.org/officeDocument/2006/relationships/hyperlink" Target="https://alcohol.stackexchange.com/questions/1064/by-volume-by-weight-conversion-formula" TargetMode="External"/><Relationship Id="rId5" Type="http://schemas.openxmlformats.org/officeDocument/2006/relationships/hyperlink" Target="https://www.handymath.com/cgi-bin/ethnlwateradj2.cgi?convstvol=mL&amp;convadjvol=mL&amp;convfnlvol=mL&amp;qnty=500&amp;stconc=90&amp;adjconc=&amp;fnlconc=40&amp;submit=Reset&amp;volwght=Volume" TargetMode="External"/><Relationship Id="rId4" Type="http://schemas.openxmlformats.org/officeDocument/2006/relationships/hyperlink" Target="http://www.walter-lystfisker.dk/"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CG88"/>
  <sheetViews>
    <sheetView tabSelected="1" zoomScaleNormal="100" workbookViewId="0">
      <selection activeCell="M25" sqref="M25"/>
    </sheetView>
  </sheetViews>
  <sheetFormatPr defaultRowHeight="18.75"/>
  <cols>
    <col min="1" max="1" width="27.7109375" style="2" customWidth="1"/>
    <col min="2" max="2" width="25.7109375" style="2" customWidth="1"/>
    <col min="3" max="3" width="14.7109375" style="2" customWidth="1"/>
    <col min="4" max="4" width="16.7109375" style="2" bestFit="1" customWidth="1"/>
    <col min="5" max="5" width="16.7109375" style="2" customWidth="1"/>
    <col min="6" max="6" width="19.7109375" style="2" customWidth="1"/>
    <col min="7" max="7" width="14.7109375" style="2" customWidth="1"/>
    <col min="8" max="8" width="16.42578125" style="70" bestFit="1" customWidth="1"/>
    <col min="9" max="9" width="14.7109375" style="2" customWidth="1"/>
    <col min="10" max="10" width="14.7109375" style="70" customWidth="1"/>
    <col min="11" max="11" width="14.7109375" style="2" customWidth="1"/>
    <col min="12" max="12" width="19.7109375" style="2" customWidth="1"/>
    <col min="13" max="13" width="20.7109375" style="2" customWidth="1"/>
    <col min="14" max="14" width="9.7109375" style="2" customWidth="1"/>
    <col min="15" max="15" width="20.7109375" style="2" customWidth="1"/>
    <col min="16" max="16" width="5.7109375" style="2" customWidth="1"/>
    <col min="17" max="18" width="20.7109375" style="2" customWidth="1"/>
    <col min="19" max="19" width="17.7109375" style="122" customWidth="1"/>
    <col min="20" max="22" width="15.7109375" style="2" customWidth="1"/>
    <col min="23" max="23" width="15.7109375" style="70" customWidth="1"/>
    <col min="24" max="41" width="15.7109375" style="2" customWidth="1"/>
    <col min="42" max="42" width="9.140625" style="2"/>
    <col min="43" max="43" width="20" style="2" bestFit="1" customWidth="1"/>
    <col min="44" max="44" width="9.140625" style="2"/>
    <col min="45" max="45" width="22.7109375" style="2" customWidth="1"/>
    <col min="46" max="46" width="22.7109375" style="122" bestFit="1" customWidth="1"/>
    <col min="47" max="47" width="17.7109375" style="183" customWidth="1"/>
    <col min="48" max="48" width="20.28515625" style="2" customWidth="1"/>
    <col min="49" max="49" width="26.7109375" style="2" customWidth="1"/>
    <col min="50" max="50" width="21.140625" style="2" customWidth="1"/>
    <col min="51" max="51" width="26.28515625" style="2" bestFit="1" customWidth="1"/>
    <col min="52" max="52" width="18.7109375" style="2" customWidth="1"/>
    <col min="53" max="57" width="11.7109375" style="2" customWidth="1"/>
    <col min="58" max="59" width="10.7109375" style="2" customWidth="1"/>
    <col min="60" max="63" width="10.42578125" style="2" customWidth="1"/>
    <col min="64" max="65" width="16.7109375" style="2" customWidth="1"/>
    <col min="66" max="66" width="16.7109375" style="2" bestFit="1" customWidth="1"/>
    <col min="67" max="67" width="16.28515625" style="2" customWidth="1"/>
    <col min="68" max="70" width="9.140625" style="2"/>
    <col min="71" max="71" width="9.7109375" style="2" bestFit="1" customWidth="1"/>
    <col min="72" max="16384" width="9.140625" style="2"/>
  </cols>
  <sheetData>
    <row r="1" spans="1:74" ht="39" customHeight="1" thickBot="1">
      <c r="A1" s="40"/>
      <c r="B1" s="388" t="str">
        <f>+AT50</f>
        <v>Beregning af alkoholprocenten ved 20 °C i en Kryddersnaps  tilsat alkohol, bær og sødemidler.</v>
      </c>
      <c r="C1" s="389"/>
      <c r="D1" s="389"/>
      <c r="E1" s="389"/>
      <c r="F1" s="389"/>
      <c r="G1" s="389"/>
      <c r="H1" s="389"/>
      <c r="I1" s="389"/>
      <c r="J1" s="389"/>
      <c r="K1" s="389"/>
      <c r="L1" s="189" t="str">
        <f>+AV2</f>
        <v>Hvad vil du lave?</v>
      </c>
      <c r="M1" s="188" t="s">
        <v>140</v>
      </c>
      <c r="N1" s="187"/>
      <c r="O1" s="376" t="s">
        <v>73</v>
      </c>
      <c r="P1" s="376"/>
      <c r="Q1" s="376"/>
      <c r="R1" s="377"/>
      <c r="S1" s="374" t="s">
        <v>47</v>
      </c>
      <c r="T1" s="403" t="s">
        <v>220</v>
      </c>
      <c r="U1" s="410" t="s">
        <v>221</v>
      </c>
      <c r="V1" s="41" t="s">
        <v>98</v>
      </c>
      <c r="W1" s="42">
        <f>+O6</f>
        <v>250</v>
      </c>
      <c r="X1" s="41" t="s">
        <v>99</v>
      </c>
      <c r="Y1" s="43">
        <f>+O12</f>
        <v>0</v>
      </c>
      <c r="Z1" s="41" t="s">
        <v>100</v>
      </c>
      <c r="AA1" s="42">
        <f>+O18</f>
        <v>0</v>
      </c>
      <c r="AB1" s="41" t="s">
        <v>101</v>
      </c>
      <c r="AC1" s="42">
        <f>+O24</f>
        <v>0</v>
      </c>
      <c r="AD1" s="41" t="s">
        <v>102</v>
      </c>
      <c r="AE1" s="43">
        <f>+O30</f>
        <v>0</v>
      </c>
      <c r="AF1" s="41" t="s">
        <v>103</v>
      </c>
      <c r="AG1" s="42">
        <f>+O36</f>
        <v>0</v>
      </c>
      <c r="AH1" s="41" t="s">
        <v>104</v>
      </c>
      <c r="AI1" s="44">
        <f>+O42</f>
        <v>0</v>
      </c>
      <c r="AJ1" s="41" t="s">
        <v>105</v>
      </c>
      <c r="AK1" s="44">
        <f>+O48</f>
        <v>0</v>
      </c>
      <c r="AL1" s="41" t="s">
        <v>106</v>
      </c>
      <c r="AM1" s="44">
        <f>+O54</f>
        <v>0</v>
      </c>
      <c r="AN1" s="41" t="s">
        <v>107</v>
      </c>
      <c r="AO1" s="44">
        <f>+O60</f>
        <v>0</v>
      </c>
      <c r="AP1" s="45"/>
      <c r="AQ1" s="237" t="s">
        <v>108</v>
      </c>
      <c r="AR1" s="391" t="s">
        <v>217</v>
      </c>
      <c r="AS1" s="405" t="s">
        <v>136</v>
      </c>
      <c r="AT1" s="406"/>
      <c r="AU1" s="407"/>
      <c r="AV1" s="245" t="s">
        <v>211</v>
      </c>
      <c r="AW1" s="400" t="s">
        <v>210</v>
      </c>
      <c r="AX1" s="401"/>
      <c r="AY1" s="402"/>
      <c r="AZ1" s="46"/>
      <c r="BA1" s="46"/>
      <c r="BB1" s="46"/>
      <c r="BC1" s="46"/>
      <c r="BD1" s="46"/>
      <c r="BE1" s="46"/>
      <c r="BF1" s="46"/>
      <c r="BG1" s="46"/>
      <c r="BH1" s="46"/>
      <c r="BI1" s="46"/>
      <c r="BJ1" s="46"/>
      <c r="BK1" s="46"/>
      <c r="BL1" s="46"/>
      <c r="BM1" s="163"/>
      <c r="BN1" s="163"/>
      <c r="BO1" s="163"/>
      <c r="BP1" s="163"/>
      <c r="BQ1" s="163"/>
      <c r="BR1" s="163"/>
      <c r="BS1" s="163"/>
      <c r="BT1" s="163"/>
      <c r="BU1" s="163"/>
      <c r="BV1" s="163"/>
    </row>
    <row r="2" spans="1:74" ht="24.95" customHeight="1" thickBot="1">
      <c r="A2" s="366" t="s">
        <v>154</v>
      </c>
      <c r="B2" s="367"/>
      <c r="C2" s="20" t="s">
        <v>118</v>
      </c>
      <c r="D2" s="20" t="s">
        <v>114</v>
      </c>
      <c r="E2" s="20" t="s">
        <v>113</v>
      </c>
      <c r="F2" s="329" t="s">
        <v>266</v>
      </c>
      <c r="G2" s="379" t="s">
        <v>86</v>
      </c>
      <c r="H2" s="380"/>
      <c r="I2" s="331" t="s">
        <v>267</v>
      </c>
      <c r="J2" s="332" t="s">
        <v>56</v>
      </c>
      <c r="K2" s="329" t="s">
        <v>111</v>
      </c>
      <c r="L2" s="393" t="str">
        <f>CONCATENATE(K2," for ",B3," &amp; ",B4)</f>
        <v xml:space="preserve"> gram for Alkohol # 1  &amp;  Alkohol # 2</v>
      </c>
      <c r="M2" s="394"/>
      <c r="N2" s="138"/>
      <c r="O2" s="132" t="s">
        <v>44</v>
      </c>
      <c r="P2" s="49"/>
      <c r="Q2" s="50" t="str">
        <f>+O4</f>
        <v>Hindbær</v>
      </c>
      <c r="R2" s="49" t="s">
        <v>46</v>
      </c>
      <c r="S2" s="375"/>
      <c r="T2" s="404"/>
      <c r="U2" s="411"/>
      <c r="V2" s="51" t="s">
        <v>40</v>
      </c>
      <c r="W2" s="52" t="s">
        <v>41</v>
      </c>
      <c r="X2" s="51" t="s">
        <v>40</v>
      </c>
      <c r="Y2" s="53" t="s">
        <v>41</v>
      </c>
      <c r="Z2" s="51" t="s">
        <v>40</v>
      </c>
      <c r="AA2" s="52" t="s">
        <v>41</v>
      </c>
      <c r="AB2" s="51" t="s">
        <v>40</v>
      </c>
      <c r="AC2" s="52" t="s">
        <v>41</v>
      </c>
      <c r="AD2" s="54" t="s">
        <v>40</v>
      </c>
      <c r="AE2" s="55" t="s">
        <v>41</v>
      </c>
      <c r="AF2" s="51" t="s">
        <v>40</v>
      </c>
      <c r="AG2" s="52" t="s">
        <v>41</v>
      </c>
      <c r="AH2" s="51" t="s">
        <v>40</v>
      </c>
      <c r="AI2" s="52" t="s">
        <v>41</v>
      </c>
      <c r="AJ2" s="51" t="s">
        <v>40</v>
      </c>
      <c r="AK2" s="52" t="s">
        <v>41</v>
      </c>
      <c r="AL2" s="51" t="s">
        <v>40</v>
      </c>
      <c r="AM2" s="52" t="s">
        <v>41</v>
      </c>
      <c r="AN2" s="51" t="s">
        <v>40</v>
      </c>
      <c r="AO2" s="52" t="s">
        <v>41</v>
      </c>
      <c r="AP2" s="46"/>
      <c r="AQ2" s="25">
        <v>1</v>
      </c>
      <c r="AR2" s="392"/>
      <c r="AS2" s="249" t="str">
        <f>+$A$3</f>
        <v>Vodka 37,5 %</v>
      </c>
      <c r="AT2" s="287" t="s">
        <v>137</v>
      </c>
      <c r="AU2" s="250" t="s">
        <v>160</v>
      </c>
      <c r="AV2" s="246" t="s">
        <v>138</v>
      </c>
      <c r="AW2" s="278" t="str">
        <f>+$M$31</f>
        <v>Kryddersnaps</v>
      </c>
      <c r="AX2" s="408" t="s">
        <v>138</v>
      </c>
      <c r="AY2" s="409"/>
      <c r="AZ2" s="243"/>
      <c r="BA2" s="46"/>
      <c r="BB2" s="46"/>
      <c r="BC2" s="46"/>
      <c r="BD2" s="46"/>
      <c r="BE2" s="46"/>
      <c r="BF2" s="46"/>
      <c r="BG2" s="46"/>
      <c r="BH2" s="46"/>
      <c r="BI2" s="46"/>
      <c r="BJ2" s="46"/>
      <c r="BK2" s="46"/>
      <c r="BL2" s="99"/>
      <c r="BM2" s="163"/>
      <c r="BN2" s="163"/>
      <c r="BO2" s="163"/>
      <c r="BP2" s="163"/>
      <c r="BQ2" s="163"/>
      <c r="BR2" s="163"/>
      <c r="BS2" s="163"/>
      <c r="BT2" s="163"/>
      <c r="BU2" s="163"/>
      <c r="BV2" s="163"/>
    </row>
    <row r="3" spans="1:74" s="70" customFormat="1" ht="24.95" customHeight="1">
      <c r="A3" s="196" t="s">
        <v>141</v>
      </c>
      <c r="B3" s="265" t="s">
        <v>232</v>
      </c>
      <c r="C3" s="162">
        <v>700</v>
      </c>
      <c r="D3" s="34">
        <f>+AS4</f>
        <v>0.375</v>
      </c>
      <c r="E3" s="34">
        <f>K3/(H3+K3)</f>
        <v>0.32170542635658922</v>
      </c>
      <c r="F3" s="330">
        <v>20</v>
      </c>
      <c r="G3" s="328" t="s">
        <v>54</v>
      </c>
      <c r="H3" s="327">
        <f>C3*(100%-D3)</f>
        <v>437.5</v>
      </c>
      <c r="I3" s="326" t="s">
        <v>52</v>
      </c>
      <c r="J3" s="333">
        <f>C3*D3</f>
        <v>262.5</v>
      </c>
      <c r="K3" s="327">
        <f>J3*$J$6</f>
        <v>207.50000000000006</v>
      </c>
      <c r="L3" s="165">
        <f>+ROUND(H3+K3,0)</f>
        <v>645</v>
      </c>
      <c r="M3" s="166" t="str">
        <f>CONCATENATE(F7,C2)</f>
        <v xml:space="preserve">700 ml  </v>
      </c>
      <c r="N3" s="337" t="s">
        <v>239</v>
      </c>
      <c r="O3" s="133" t="s">
        <v>43</v>
      </c>
      <c r="P3" s="58"/>
      <c r="Q3" s="59" t="str">
        <f>+$V$2</f>
        <v>Gram Vand</v>
      </c>
      <c r="R3" s="60">
        <f>VLOOKUP($Q$2,$S$3:$AG$33,4)</f>
        <v>214.75</v>
      </c>
      <c r="S3" s="61" t="s">
        <v>37</v>
      </c>
      <c r="T3" s="62">
        <v>0.88800000000000001</v>
      </c>
      <c r="U3" s="63">
        <v>7.8E-2</v>
      </c>
      <c r="V3" s="64">
        <f t="shared" ref="V3:V4" si="0">+T3*$W$1</f>
        <v>222</v>
      </c>
      <c r="W3" s="65">
        <f t="shared" ref="W3:W4" si="1">+U3*$W$1</f>
        <v>19.5</v>
      </c>
      <c r="X3" s="64">
        <f>+T3*$Y$1</f>
        <v>0</v>
      </c>
      <c r="Y3" s="66">
        <f>+U3*$Y$1</f>
        <v>0</v>
      </c>
      <c r="Z3" s="67">
        <f>+T3*$AA$1</f>
        <v>0</v>
      </c>
      <c r="AA3" s="68">
        <f>+U3*$AA$1</f>
        <v>0</v>
      </c>
      <c r="AB3" s="67">
        <f>+T3*$AC$1</f>
        <v>0</v>
      </c>
      <c r="AC3" s="69">
        <f>+U3*$AC$1</f>
        <v>0</v>
      </c>
      <c r="AD3" s="67">
        <f>+T3*$AE$1</f>
        <v>0</v>
      </c>
      <c r="AE3" s="69">
        <f>+U3*$AE$1</f>
        <v>0</v>
      </c>
      <c r="AF3" s="64">
        <f>+T3*$AG$1</f>
        <v>0</v>
      </c>
      <c r="AG3" s="65">
        <f>+U3*$AG$1</f>
        <v>0</v>
      </c>
      <c r="AH3" s="64">
        <f>+T3*$AI$1</f>
        <v>0</v>
      </c>
      <c r="AI3" s="65">
        <f>+U3*$AI$1</f>
        <v>0</v>
      </c>
      <c r="AJ3" s="64">
        <f>+T3*$AK$1</f>
        <v>0</v>
      </c>
      <c r="AK3" s="65">
        <f>+U3*$AK$1</f>
        <v>0</v>
      </c>
      <c r="AL3" s="64">
        <f>+T3*$AM$1</f>
        <v>0</v>
      </c>
      <c r="AM3" s="65">
        <f>+U3*$AM$1</f>
        <v>0</v>
      </c>
      <c r="AN3" s="64">
        <f>+T3*$AO$1</f>
        <v>0</v>
      </c>
      <c r="AO3" s="65">
        <f>+U3*$AO$1</f>
        <v>0</v>
      </c>
      <c r="AP3" s="58"/>
      <c r="AQ3" s="26">
        <v>0.99</v>
      </c>
      <c r="AR3" s="392"/>
      <c r="AS3" s="251" t="str">
        <f>VLOOKUP($AS$2,$AT$3:$AU$20,1)</f>
        <v>Vodka 37,5 %</v>
      </c>
      <c r="AT3" s="211" t="s">
        <v>153</v>
      </c>
      <c r="AU3" s="252">
        <v>0.45</v>
      </c>
      <c r="AV3" s="247" t="s">
        <v>140</v>
      </c>
      <c r="AW3" s="278">
        <f>VLOOKUP(AW2,AX3:AY6,2)</f>
        <v>30</v>
      </c>
      <c r="AX3" s="211" t="s">
        <v>140</v>
      </c>
      <c r="AY3" s="219">
        <v>30</v>
      </c>
      <c r="AZ3" s="60"/>
      <c r="BA3" s="200" t="s">
        <v>142</v>
      </c>
      <c r="BB3" s="191"/>
      <c r="BC3" s="191"/>
      <c r="BD3" s="390" t="str">
        <f>+$M$1</f>
        <v>Kryddersnaps</v>
      </c>
      <c r="BE3" s="390"/>
      <c r="BF3" s="200" t="s">
        <v>143</v>
      </c>
      <c r="BG3" s="191"/>
      <c r="BH3" s="190"/>
      <c r="BI3" s="190"/>
      <c r="BJ3" s="190"/>
      <c r="BK3" s="190"/>
      <c r="BL3" s="179"/>
      <c r="BM3" s="199"/>
      <c r="BN3" s="163"/>
      <c r="BO3" s="199"/>
      <c r="BP3" s="199"/>
      <c r="BQ3" s="199"/>
      <c r="BR3" s="199"/>
      <c r="BS3" s="199"/>
      <c r="BT3" s="199"/>
      <c r="BU3" s="199"/>
      <c r="BV3" s="199"/>
    </row>
    <row r="4" spans="1:74" ht="24.95" customHeight="1" thickBot="1">
      <c r="A4" s="196" t="s">
        <v>176</v>
      </c>
      <c r="B4" s="265" t="s">
        <v>233</v>
      </c>
      <c r="C4" s="162">
        <v>0</v>
      </c>
      <c r="D4" s="35">
        <f>+AS7</f>
        <v>0</v>
      </c>
      <c r="E4" s="35" t="e">
        <f>K4/(H4+K4)</f>
        <v>#DIV/0!</v>
      </c>
      <c r="F4" s="373" t="s">
        <v>272</v>
      </c>
      <c r="G4" s="328" t="s">
        <v>55</v>
      </c>
      <c r="H4" s="327">
        <f>C4*(100%-D4)</f>
        <v>0</v>
      </c>
      <c r="I4" s="326" t="s">
        <v>53</v>
      </c>
      <c r="J4" s="333">
        <f>C4*D4</f>
        <v>0</v>
      </c>
      <c r="K4" s="327">
        <f>J4*$J$6</f>
        <v>0</v>
      </c>
      <c r="L4" s="165">
        <f>+ROUND(H4+K4,0)</f>
        <v>0</v>
      </c>
      <c r="M4" s="166" t="str">
        <f>CONCATENATE(F8,C2)</f>
        <v xml:space="preserve">0 ml  </v>
      </c>
      <c r="N4" s="140"/>
      <c r="O4" s="319" t="s">
        <v>17</v>
      </c>
      <c r="P4" s="71"/>
      <c r="Q4" s="16" t="str">
        <f>+$W$2</f>
        <v>Gram Sukker</v>
      </c>
      <c r="R4" s="72">
        <f>VLOOKUP($Q$2,$S$3:$AG$33,5)</f>
        <v>17.25</v>
      </c>
      <c r="S4" s="4" t="s">
        <v>38</v>
      </c>
      <c r="T4" s="7">
        <v>0.26200000000000001</v>
      </c>
      <c r="U4" s="8">
        <v>0.57199999999999995</v>
      </c>
      <c r="V4" s="73">
        <f t="shared" si="0"/>
        <v>65.5</v>
      </c>
      <c r="W4" s="74">
        <f t="shared" si="1"/>
        <v>143</v>
      </c>
      <c r="X4" s="73">
        <f t="shared" ref="X4:X33" si="2">+T4*$Y$1</f>
        <v>0</v>
      </c>
      <c r="Y4" s="75">
        <f t="shared" ref="Y4:Y33" si="3">+U4*$Y$1</f>
        <v>0</v>
      </c>
      <c r="Z4" s="64">
        <f>+T4*$AA$1</f>
        <v>0</v>
      </c>
      <c r="AA4" s="65">
        <f>+U4*$AA$1</f>
        <v>0</v>
      </c>
      <c r="AB4" s="64">
        <f t="shared" ref="AB4:AB33" si="4">+T4*$AC$1</f>
        <v>0</v>
      </c>
      <c r="AC4" s="66">
        <f t="shared" ref="AC4:AC33" si="5">+U4*$AC$1</f>
        <v>0</v>
      </c>
      <c r="AD4" s="73">
        <f t="shared" ref="AD4:AD33" si="6">+T4*$AE$1</f>
        <v>0</v>
      </c>
      <c r="AE4" s="75">
        <f t="shared" ref="AE4:AE33" si="7">+U4*$AE$1</f>
        <v>0</v>
      </c>
      <c r="AF4" s="73">
        <f t="shared" ref="AF4:AF33" si="8">+T4*$AG$1</f>
        <v>0</v>
      </c>
      <c r="AG4" s="74">
        <f t="shared" ref="AG4:AG33" si="9">+U4*$AG$1</f>
        <v>0</v>
      </c>
      <c r="AH4" s="64">
        <f t="shared" ref="AH4:AH33" si="10">+T4*$AI$1</f>
        <v>0</v>
      </c>
      <c r="AI4" s="65">
        <f t="shared" ref="AI4:AI33" si="11">+U4*$AI$1</f>
        <v>0</v>
      </c>
      <c r="AJ4" s="64">
        <f t="shared" ref="AJ4:AJ33" si="12">+T4*$AK$1</f>
        <v>0</v>
      </c>
      <c r="AK4" s="65">
        <f t="shared" ref="AK4:AK33" si="13">+U4*$AK$1</f>
        <v>0</v>
      </c>
      <c r="AL4" s="64">
        <f t="shared" ref="AL4:AL33" si="14">+T4*$AM$1</f>
        <v>0</v>
      </c>
      <c r="AM4" s="65">
        <f t="shared" ref="AM4:AM33" si="15">+U4*$AM$1</f>
        <v>0</v>
      </c>
      <c r="AN4" s="64">
        <f t="shared" ref="AN4:AN33" si="16">+T4*$AO$1</f>
        <v>0</v>
      </c>
      <c r="AO4" s="65">
        <f t="shared" ref="AO4:AO33" si="17">+U4*$AO$1</f>
        <v>0</v>
      </c>
      <c r="AP4" s="46"/>
      <c r="AQ4" s="26">
        <v>0.98</v>
      </c>
      <c r="AR4" s="392"/>
      <c r="AS4" s="253">
        <f>VLOOKUP($AS$2,$AT$3:$AU$20,2)</f>
        <v>0.375</v>
      </c>
      <c r="AT4" s="211" t="s">
        <v>157</v>
      </c>
      <c r="AU4" s="252">
        <v>0.4</v>
      </c>
      <c r="AV4" s="247" t="s">
        <v>161</v>
      </c>
      <c r="AW4" s="278"/>
      <c r="AX4" s="211" t="s">
        <v>161</v>
      </c>
      <c r="AY4" s="219">
        <v>100</v>
      </c>
      <c r="AZ4" s="210"/>
      <c r="BA4" s="201" t="s">
        <v>3</v>
      </c>
      <c r="BB4" s="142"/>
      <c r="BC4" s="142"/>
      <c r="BD4" s="142"/>
      <c r="BE4" s="142"/>
      <c r="BF4" s="142"/>
      <c r="BG4" s="142"/>
      <c r="BH4" s="142"/>
      <c r="BI4" s="142"/>
      <c r="BJ4" s="142"/>
      <c r="BK4" s="142"/>
      <c r="BL4" s="46"/>
      <c r="BM4" s="163"/>
      <c r="BN4" s="163"/>
      <c r="BO4" s="163"/>
      <c r="BP4" s="163"/>
      <c r="BQ4" s="163"/>
      <c r="BR4" s="163"/>
      <c r="BS4" s="163"/>
      <c r="BT4" s="163"/>
      <c r="BU4" s="163"/>
      <c r="BV4" s="163"/>
    </row>
    <row r="5" spans="1:74" ht="24.95" customHeight="1" thickBot="1">
      <c r="A5" s="227"/>
      <c r="B5" s="224" t="s">
        <v>182</v>
      </c>
      <c r="C5" s="145">
        <f>ROUND(SUM(C3:C4),0)</f>
        <v>700</v>
      </c>
      <c r="D5" s="21">
        <f>ROUND(J5/C5,3)</f>
        <v>0.375</v>
      </c>
      <c r="E5" s="35">
        <f>K5/(H5+K5)</f>
        <v>0.32170542635658922</v>
      </c>
      <c r="F5" s="373"/>
      <c r="G5" s="77" t="s">
        <v>57</v>
      </c>
      <c r="H5" s="240">
        <f>SUM(H3:H4)</f>
        <v>437.5</v>
      </c>
      <c r="I5" s="77" t="s">
        <v>58</v>
      </c>
      <c r="J5" s="241">
        <f>SUM(J3:J4)</f>
        <v>262.5</v>
      </c>
      <c r="K5" s="240">
        <f>SUM(K3:K4)</f>
        <v>207.50000000000006</v>
      </c>
      <c r="L5" s="167">
        <f>+ROUND(H5+K5,0)</f>
        <v>645</v>
      </c>
      <c r="M5" s="168" t="str">
        <f>CONCATENATE(F9,C2)</f>
        <v xml:space="preserve">700 ml  </v>
      </c>
      <c r="N5" s="139"/>
      <c r="O5" s="135" t="s">
        <v>95</v>
      </c>
      <c r="P5" s="58"/>
      <c r="Q5" s="382" t="s">
        <v>96</v>
      </c>
      <c r="R5" s="383"/>
      <c r="S5" s="3" t="s">
        <v>10</v>
      </c>
      <c r="T5" s="5">
        <v>0.86399999999999999</v>
      </c>
      <c r="U5" s="6">
        <v>8.2000000000000003E-2</v>
      </c>
      <c r="V5" s="73">
        <f t="shared" ref="V5:W7" si="18">+T5*$W$1</f>
        <v>216</v>
      </c>
      <c r="W5" s="74">
        <f t="shared" si="18"/>
        <v>20.5</v>
      </c>
      <c r="X5" s="73">
        <f t="shared" si="2"/>
        <v>0</v>
      </c>
      <c r="Y5" s="75">
        <f t="shared" si="3"/>
        <v>0</v>
      </c>
      <c r="Z5" s="64">
        <f t="shared" ref="Z5:Z33" si="19">+T5*$AA$1</f>
        <v>0</v>
      </c>
      <c r="AA5" s="65">
        <f t="shared" ref="AA5:AA33" si="20">+U5*$AA$1</f>
        <v>0</v>
      </c>
      <c r="AB5" s="64">
        <f t="shared" si="4"/>
        <v>0</v>
      </c>
      <c r="AC5" s="66">
        <f t="shared" si="5"/>
        <v>0</v>
      </c>
      <c r="AD5" s="73">
        <f t="shared" si="6"/>
        <v>0</v>
      </c>
      <c r="AE5" s="75">
        <f t="shared" si="7"/>
        <v>0</v>
      </c>
      <c r="AF5" s="73">
        <f t="shared" si="8"/>
        <v>0</v>
      </c>
      <c r="AG5" s="74">
        <f t="shared" si="9"/>
        <v>0</v>
      </c>
      <c r="AH5" s="64">
        <f t="shared" si="10"/>
        <v>0</v>
      </c>
      <c r="AI5" s="65">
        <f t="shared" si="11"/>
        <v>0</v>
      </c>
      <c r="AJ5" s="64">
        <f t="shared" si="12"/>
        <v>0</v>
      </c>
      <c r="AK5" s="65">
        <f t="shared" si="13"/>
        <v>0</v>
      </c>
      <c r="AL5" s="64">
        <f t="shared" si="14"/>
        <v>0</v>
      </c>
      <c r="AM5" s="65">
        <f t="shared" si="15"/>
        <v>0</v>
      </c>
      <c r="AN5" s="64">
        <f t="shared" si="16"/>
        <v>0</v>
      </c>
      <c r="AO5" s="65">
        <f t="shared" si="17"/>
        <v>0</v>
      </c>
      <c r="AP5" s="46"/>
      <c r="AQ5" s="26">
        <v>0.97</v>
      </c>
      <c r="AR5" s="392"/>
      <c r="AS5" s="249" t="str">
        <f>+$A$4</f>
        <v>Vand 0%</v>
      </c>
      <c r="AT5" s="211" t="str">
        <f>+AS19</f>
        <v>Favorit 50%</v>
      </c>
      <c r="AU5" s="252">
        <f>+A7</f>
        <v>0.5</v>
      </c>
      <c r="AV5" s="247" t="s">
        <v>139</v>
      </c>
      <c r="AW5" s="278"/>
      <c r="AX5" s="211" t="s">
        <v>139</v>
      </c>
      <c r="AY5" s="219">
        <v>300</v>
      </c>
      <c r="AZ5" s="210"/>
      <c r="BA5" s="142"/>
      <c r="BB5" s="142"/>
      <c r="BC5" s="142"/>
      <c r="BD5" s="142"/>
      <c r="BE5" s="142"/>
      <c r="BF5" s="142"/>
      <c r="BG5" s="142"/>
      <c r="BH5" s="142"/>
      <c r="BI5" s="142"/>
      <c r="BJ5" s="142"/>
      <c r="BK5" s="142"/>
      <c r="BL5" s="46"/>
      <c r="BM5" s="163"/>
      <c r="BN5" s="163"/>
      <c r="BO5" s="163"/>
      <c r="BP5" s="163"/>
      <c r="BQ5" s="163"/>
      <c r="BR5" s="163"/>
      <c r="BS5" s="163"/>
      <c r="BT5" s="163"/>
      <c r="BU5" s="163"/>
      <c r="BV5" s="163"/>
    </row>
    <row r="6" spans="1:74" ht="20.100000000000001" customHeight="1" thickTop="1" thickBot="1">
      <c r="A6" s="223" t="s">
        <v>184</v>
      </c>
      <c r="B6" s="81"/>
      <c r="C6" s="81"/>
      <c r="D6" s="81"/>
      <c r="E6" s="81"/>
      <c r="F6" s="295"/>
      <c r="G6" s="46" t="s">
        <v>270</v>
      </c>
      <c r="H6" s="273"/>
      <c r="I6" s="163"/>
      <c r="J6" s="273">
        <v>0.79047619047619067</v>
      </c>
      <c r="K6" s="199" t="s">
        <v>269</v>
      </c>
      <c r="L6" s="334">
        <f>+AS23</f>
        <v>0.99820500000000001</v>
      </c>
      <c r="M6" s="396" t="str">
        <f>CONCATENATE(M10,F3,N3)</f>
        <v>g/ml  g/cm³ ved 20 ⁰C</v>
      </c>
      <c r="N6" s="397"/>
      <c r="O6" s="136">
        <v>250</v>
      </c>
      <c r="P6" s="58"/>
      <c r="Q6" s="384"/>
      <c r="R6" s="385"/>
      <c r="S6" s="3" t="s">
        <v>11</v>
      </c>
      <c r="T6" s="5">
        <v>0.79</v>
      </c>
      <c r="U6" s="6">
        <v>0.08</v>
      </c>
      <c r="V6" s="73">
        <f t="shared" si="18"/>
        <v>197.5</v>
      </c>
      <c r="W6" s="74">
        <f t="shared" si="18"/>
        <v>20</v>
      </c>
      <c r="X6" s="73">
        <f t="shared" si="2"/>
        <v>0</v>
      </c>
      <c r="Y6" s="75">
        <f t="shared" si="3"/>
        <v>0</v>
      </c>
      <c r="Z6" s="64">
        <f t="shared" si="19"/>
        <v>0</v>
      </c>
      <c r="AA6" s="65">
        <f t="shared" si="20"/>
        <v>0</v>
      </c>
      <c r="AB6" s="64">
        <f t="shared" si="4"/>
        <v>0</v>
      </c>
      <c r="AC6" s="66">
        <f t="shared" si="5"/>
        <v>0</v>
      </c>
      <c r="AD6" s="73">
        <f t="shared" si="6"/>
        <v>0</v>
      </c>
      <c r="AE6" s="75">
        <f t="shared" si="7"/>
        <v>0</v>
      </c>
      <c r="AF6" s="73">
        <f t="shared" si="8"/>
        <v>0</v>
      </c>
      <c r="AG6" s="74">
        <f t="shared" si="9"/>
        <v>0</v>
      </c>
      <c r="AH6" s="64">
        <f t="shared" si="10"/>
        <v>0</v>
      </c>
      <c r="AI6" s="65">
        <f t="shared" si="11"/>
        <v>0</v>
      </c>
      <c r="AJ6" s="64">
        <f t="shared" si="12"/>
        <v>0</v>
      </c>
      <c r="AK6" s="65">
        <f t="shared" si="13"/>
        <v>0</v>
      </c>
      <c r="AL6" s="64">
        <f t="shared" si="14"/>
        <v>0</v>
      </c>
      <c r="AM6" s="65">
        <f t="shared" si="15"/>
        <v>0</v>
      </c>
      <c r="AN6" s="64">
        <f t="shared" si="16"/>
        <v>0</v>
      </c>
      <c r="AO6" s="65">
        <f t="shared" si="17"/>
        <v>0</v>
      </c>
      <c r="AP6" s="46"/>
      <c r="AQ6" s="26">
        <v>0.96</v>
      </c>
      <c r="AR6" s="392"/>
      <c r="AS6" s="251" t="str">
        <f>VLOOKUP($AS$5,$AT$3:$AU$20,1)</f>
        <v>Vand 0%</v>
      </c>
      <c r="AT6" s="211" t="s">
        <v>156</v>
      </c>
      <c r="AU6" s="254">
        <v>0.96</v>
      </c>
      <c r="AV6" s="248" t="s">
        <v>177</v>
      </c>
      <c r="AW6" s="285"/>
      <c r="AX6" s="244" t="s">
        <v>177</v>
      </c>
      <c r="AY6" s="277">
        <v>0</v>
      </c>
      <c r="AZ6" s="46"/>
      <c r="BA6" s="200" t="s">
        <v>144</v>
      </c>
      <c r="BB6" s="390" t="str">
        <f>+$AT$52</f>
        <v>Kryddersnaps</v>
      </c>
      <c r="BC6" s="390"/>
      <c r="BD6" s="192" t="s">
        <v>146</v>
      </c>
      <c r="BE6" s="142"/>
      <c r="BF6" s="142"/>
      <c r="BG6" s="142"/>
      <c r="BH6" s="142"/>
      <c r="BI6" s="142"/>
      <c r="BJ6" s="142"/>
      <c r="BK6" s="142"/>
      <c r="BL6" s="46"/>
      <c r="BM6" s="163"/>
      <c r="BN6" s="163"/>
      <c r="BO6" s="163"/>
      <c r="BP6" s="163"/>
      <c r="BQ6" s="163"/>
      <c r="BR6" s="163"/>
      <c r="BS6" s="163"/>
      <c r="BT6" s="163"/>
      <c r="BU6" s="163"/>
      <c r="BV6" s="163"/>
    </row>
    <row r="7" spans="1:74" ht="20.100000000000001" customHeight="1" thickBot="1">
      <c r="A7" s="228">
        <v>0.5</v>
      </c>
      <c r="B7" s="80" t="s">
        <v>195</v>
      </c>
      <c r="C7" s="82" t="s">
        <v>0</v>
      </c>
      <c r="D7" s="79" t="s">
        <v>90</v>
      </c>
      <c r="E7" s="79" t="s">
        <v>63</v>
      </c>
      <c r="F7" s="312">
        <f>+ROUND(C3,0)</f>
        <v>700</v>
      </c>
      <c r="G7" s="81" t="s">
        <v>80</v>
      </c>
      <c r="H7" s="81"/>
      <c r="I7" s="81"/>
      <c r="J7" s="80" t="s">
        <v>195</v>
      </c>
      <c r="K7" s="231" t="s">
        <v>0</v>
      </c>
      <c r="L7" s="398" t="str">
        <f>CONCATENATE(N11," gram vand ved ",F3,AS21," fylder ml")</f>
        <v>618 gram vand ved 20 ⁰C fylder ml</v>
      </c>
      <c r="M7" s="398"/>
      <c r="N7" s="399"/>
      <c r="O7" s="46"/>
      <c r="P7" s="58"/>
      <c r="Q7" s="386"/>
      <c r="R7" s="387"/>
      <c r="S7" s="3" t="s">
        <v>42</v>
      </c>
      <c r="T7" s="5">
        <v>0.86699999999999999</v>
      </c>
      <c r="U7" s="6">
        <v>8.5999999999999993E-2</v>
      </c>
      <c r="V7" s="73">
        <f t="shared" si="18"/>
        <v>216.75</v>
      </c>
      <c r="W7" s="74">
        <f t="shared" si="18"/>
        <v>21.5</v>
      </c>
      <c r="X7" s="73">
        <f t="shared" si="2"/>
        <v>0</v>
      </c>
      <c r="Y7" s="75">
        <f t="shared" si="3"/>
        <v>0</v>
      </c>
      <c r="Z7" s="64">
        <f t="shared" si="19"/>
        <v>0</v>
      </c>
      <c r="AA7" s="65">
        <f t="shared" si="20"/>
        <v>0</v>
      </c>
      <c r="AB7" s="64">
        <f t="shared" si="4"/>
        <v>0</v>
      </c>
      <c r="AC7" s="66">
        <f t="shared" si="5"/>
        <v>0</v>
      </c>
      <c r="AD7" s="73">
        <f t="shared" si="6"/>
        <v>0</v>
      </c>
      <c r="AE7" s="75">
        <f t="shared" si="7"/>
        <v>0</v>
      </c>
      <c r="AF7" s="73">
        <f t="shared" si="8"/>
        <v>0</v>
      </c>
      <c r="AG7" s="74">
        <f t="shared" si="9"/>
        <v>0</v>
      </c>
      <c r="AH7" s="64">
        <f t="shared" si="10"/>
        <v>0</v>
      </c>
      <c r="AI7" s="65">
        <f t="shared" si="11"/>
        <v>0</v>
      </c>
      <c r="AJ7" s="64">
        <f t="shared" si="12"/>
        <v>0</v>
      </c>
      <c r="AK7" s="65">
        <f t="shared" si="13"/>
        <v>0</v>
      </c>
      <c r="AL7" s="64">
        <f t="shared" si="14"/>
        <v>0</v>
      </c>
      <c r="AM7" s="65">
        <f t="shared" si="15"/>
        <v>0</v>
      </c>
      <c r="AN7" s="64">
        <f t="shared" si="16"/>
        <v>0</v>
      </c>
      <c r="AO7" s="65">
        <f t="shared" si="17"/>
        <v>0</v>
      </c>
      <c r="AP7" s="46"/>
      <c r="AQ7" s="25">
        <v>0.95</v>
      </c>
      <c r="AR7" s="392"/>
      <c r="AS7" s="253">
        <f>VLOOKUP($AS$5,$AT$3:$AU$20,2)</f>
        <v>0</v>
      </c>
      <c r="AT7" s="211" t="s">
        <v>155</v>
      </c>
      <c r="AU7" s="252">
        <v>0.4</v>
      </c>
      <c r="AV7" s="208"/>
      <c r="AW7" s="284" t="str">
        <f>+$M$31</f>
        <v>Kryddersnaps</v>
      </c>
      <c r="AX7" s="343" t="s">
        <v>138</v>
      </c>
      <c r="AY7" s="344"/>
      <c r="AZ7" s="46"/>
      <c r="BA7" s="142" t="s">
        <v>204</v>
      </c>
      <c r="BB7" s="142"/>
      <c r="BC7" s="142"/>
      <c r="BD7" s="142"/>
      <c r="BE7" s="142"/>
      <c r="BF7" s="345" t="str">
        <f>IF(BD3="To Alkoholer",BO8,BO7)</f>
        <v>til fremstilling af:</v>
      </c>
      <c r="BG7" s="345"/>
      <c r="BI7" s="200" t="str">
        <f>+$M$1</f>
        <v>Kryddersnaps</v>
      </c>
      <c r="BJ7" s="192"/>
      <c r="BK7" s="192"/>
      <c r="BL7" s="46"/>
      <c r="BM7" s="163"/>
      <c r="BN7" s="163"/>
      <c r="BO7" s="46" t="s">
        <v>192</v>
      </c>
      <c r="BP7" s="163"/>
      <c r="BQ7" s="163"/>
      <c r="BR7" s="163"/>
      <c r="BS7" s="163"/>
      <c r="BT7" s="163"/>
      <c r="BU7" s="163"/>
      <c r="BV7" s="163"/>
    </row>
    <row r="8" spans="1:74" ht="20.100000000000001" customHeight="1" thickBot="1">
      <c r="A8" s="76" t="s">
        <v>59</v>
      </c>
      <c r="B8" s="130">
        <v>0</v>
      </c>
      <c r="C8" s="234">
        <f>B8/D8</f>
        <v>0</v>
      </c>
      <c r="D8" s="46">
        <v>1.619</v>
      </c>
      <c r="E8" s="79" t="s">
        <v>62</v>
      </c>
      <c r="F8" s="312">
        <f>+ROUND(C4,0)</f>
        <v>0</v>
      </c>
      <c r="G8" s="46" t="s">
        <v>75</v>
      </c>
      <c r="H8" s="79"/>
      <c r="I8" s="46"/>
      <c r="J8" s="84">
        <f>+H5</f>
        <v>437.5</v>
      </c>
      <c r="K8" s="83">
        <f>+J8/$L$6</f>
        <v>438.28672467078405</v>
      </c>
      <c r="L8" s="395">
        <f>+(J8+J9+J10)/AS23</f>
        <v>619.00110698704168</v>
      </c>
      <c r="M8" s="395"/>
      <c r="N8" s="314">
        <f>+J8</f>
        <v>437.5</v>
      </c>
      <c r="O8" s="132" t="s">
        <v>45</v>
      </c>
      <c r="P8" s="86"/>
      <c r="Q8" s="50" t="str">
        <f>+O10</f>
        <v>Hindbær</v>
      </c>
      <c r="R8" s="49" t="s">
        <v>46</v>
      </c>
      <c r="S8" s="3" t="s">
        <v>12</v>
      </c>
      <c r="T8" s="5">
        <v>0.871</v>
      </c>
      <c r="U8" s="6">
        <v>8.6999999999999994E-2</v>
      </c>
      <c r="V8" s="73">
        <f t="shared" ref="V8:V33" si="21">+T8*$W$1</f>
        <v>217.75</v>
      </c>
      <c r="W8" s="74">
        <f t="shared" ref="W8:W33" si="22">+U8*$W$1</f>
        <v>21.75</v>
      </c>
      <c r="X8" s="73">
        <f t="shared" si="2"/>
        <v>0</v>
      </c>
      <c r="Y8" s="75">
        <f t="shared" si="3"/>
        <v>0</v>
      </c>
      <c r="Z8" s="64">
        <f t="shared" si="19"/>
        <v>0</v>
      </c>
      <c r="AA8" s="65">
        <f t="shared" si="20"/>
        <v>0</v>
      </c>
      <c r="AB8" s="64">
        <f t="shared" si="4"/>
        <v>0</v>
      </c>
      <c r="AC8" s="66">
        <f t="shared" si="5"/>
        <v>0</v>
      </c>
      <c r="AD8" s="73">
        <f t="shared" si="6"/>
        <v>0</v>
      </c>
      <c r="AE8" s="75">
        <f t="shared" si="7"/>
        <v>0</v>
      </c>
      <c r="AF8" s="73">
        <f t="shared" si="8"/>
        <v>0</v>
      </c>
      <c r="AG8" s="74">
        <f t="shared" si="9"/>
        <v>0</v>
      </c>
      <c r="AH8" s="64">
        <f t="shared" si="10"/>
        <v>0</v>
      </c>
      <c r="AI8" s="65">
        <f t="shared" si="11"/>
        <v>0</v>
      </c>
      <c r="AJ8" s="64">
        <f t="shared" si="12"/>
        <v>0</v>
      </c>
      <c r="AK8" s="65">
        <f t="shared" si="13"/>
        <v>0</v>
      </c>
      <c r="AL8" s="64">
        <f t="shared" si="14"/>
        <v>0</v>
      </c>
      <c r="AM8" s="65">
        <f t="shared" si="15"/>
        <v>0</v>
      </c>
      <c r="AN8" s="64">
        <f t="shared" si="16"/>
        <v>0</v>
      </c>
      <c r="AO8" s="65">
        <f t="shared" si="17"/>
        <v>0</v>
      </c>
      <c r="AP8" s="46"/>
      <c r="AQ8" s="26">
        <v>0.94</v>
      </c>
      <c r="AR8" s="392"/>
      <c r="AS8" s="290"/>
      <c r="AT8" s="211" t="s">
        <v>187</v>
      </c>
      <c r="AU8" s="252">
        <v>0.4</v>
      </c>
      <c r="AV8" s="123"/>
      <c r="AW8" s="51" t="str">
        <f>VLOOKUP($AW$7,$AX$8:$AY$11,2)</f>
        <v>Kryddersnaps Likør</v>
      </c>
      <c r="AX8" s="281" t="s">
        <v>140</v>
      </c>
      <c r="AY8" s="219" t="s">
        <v>236</v>
      </c>
      <c r="AZ8" s="46"/>
      <c r="BB8" s="142"/>
      <c r="BC8" s="142"/>
      <c r="BD8" s="142"/>
      <c r="BE8" s="142"/>
      <c r="BF8" s="142"/>
      <c r="BG8" s="142"/>
      <c r="BH8" s="142"/>
      <c r="BI8" s="142"/>
      <c r="BJ8" s="142"/>
      <c r="BK8" s="142"/>
      <c r="BL8" s="46"/>
      <c r="BM8" s="163"/>
      <c r="BN8" s="163"/>
      <c r="BO8" s="46" t="s">
        <v>193</v>
      </c>
      <c r="BP8" s="163"/>
      <c r="BQ8" s="163"/>
      <c r="BR8" s="163"/>
      <c r="BS8" s="163"/>
      <c r="BT8" s="163"/>
      <c r="BU8" s="163"/>
      <c r="BV8" s="163"/>
    </row>
    <row r="9" spans="1:74" ht="20.100000000000001" customHeight="1">
      <c r="A9" s="76" t="s">
        <v>60</v>
      </c>
      <c r="B9" s="124">
        <v>0</v>
      </c>
      <c r="C9" s="234">
        <f>B9/D9</f>
        <v>0</v>
      </c>
      <c r="D9" s="87">
        <v>1.4</v>
      </c>
      <c r="E9" s="79" t="s">
        <v>62</v>
      </c>
      <c r="F9" s="312">
        <f>+ROUND(C5,0)</f>
        <v>700</v>
      </c>
      <c r="G9" s="46" t="s">
        <v>76</v>
      </c>
      <c r="H9" s="79"/>
      <c r="I9" s="79"/>
      <c r="J9" s="84">
        <f>(+R3+R9+R15+R21+R27+R33+R39+R45+R51+R57)*B23</f>
        <v>180.39</v>
      </c>
      <c r="K9" s="83">
        <f>+J9/$L$6</f>
        <v>180.71438231625766</v>
      </c>
      <c r="L9" s="378" t="s">
        <v>196</v>
      </c>
      <c r="M9" s="378"/>
      <c r="N9" s="315">
        <f>+J9</f>
        <v>180.39</v>
      </c>
      <c r="O9" s="137" t="s">
        <v>43</v>
      </c>
      <c r="P9" s="17"/>
      <c r="Q9" s="59" t="str">
        <f>+$V$2</f>
        <v>Gram Vand</v>
      </c>
      <c r="R9" s="60">
        <f>VLOOKUP($Q$8,$S$3:$AG$33,6)</f>
        <v>0</v>
      </c>
      <c r="S9" s="3" t="s">
        <v>13</v>
      </c>
      <c r="T9" s="5">
        <v>0.88200000000000001</v>
      </c>
      <c r="U9" s="6">
        <v>4.7E-2</v>
      </c>
      <c r="V9" s="73">
        <f t="shared" si="21"/>
        <v>220.5</v>
      </c>
      <c r="W9" s="74">
        <f t="shared" si="22"/>
        <v>11.75</v>
      </c>
      <c r="X9" s="73">
        <f t="shared" si="2"/>
        <v>0</v>
      </c>
      <c r="Y9" s="75">
        <f t="shared" si="3"/>
        <v>0</v>
      </c>
      <c r="Z9" s="64">
        <f t="shared" si="19"/>
        <v>0</v>
      </c>
      <c r="AA9" s="65">
        <f t="shared" si="20"/>
        <v>0</v>
      </c>
      <c r="AB9" s="64">
        <f t="shared" si="4"/>
        <v>0</v>
      </c>
      <c r="AC9" s="66">
        <f t="shared" si="5"/>
        <v>0</v>
      </c>
      <c r="AD9" s="73">
        <f t="shared" si="6"/>
        <v>0</v>
      </c>
      <c r="AE9" s="75">
        <f t="shared" si="7"/>
        <v>0</v>
      </c>
      <c r="AF9" s="73">
        <f t="shared" si="8"/>
        <v>0</v>
      </c>
      <c r="AG9" s="74">
        <f t="shared" si="9"/>
        <v>0</v>
      </c>
      <c r="AH9" s="64">
        <f t="shared" si="10"/>
        <v>0</v>
      </c>
      <c r="AI9" s="65">
        <f t="shared" si="11"/>
        <v>0</v>
      </c>
      <c r="AJ9" s="64">
        <f t="shared" si="12"/>
        <v>0</v>
      </c>
      <c r="AK9" s="65">
        <f t="shared" si="13"/>
        <v>0</v>
      </c>
      <c r="AL9" s="64">
        <f t="shared" si="14"/>
        <v>0</v>
      </c>
      <c r="AM9" s="65">
        <f t="shared" si="15"/>
        <v>0</v>
      </c>
      <c r="AN9" s="64">
        <f t="shared" si="16"/>
        <v>0</v>
      </c>
      <c r="AO9" s="65">
        <f t="shared" si="17"/>
        <v>0</v>
      </c>
      <c r="AP9" s="46"/>
      <c r="AQ9" s="26">
        <v>0.93</v>
      </c>
      <c r="AR9" s="392"/>
      <c r="AS9" s="290"/>
      <c r="AT9" s="211" t="s">
        <v>188</v>
      </c>
      <c r="AU9" s="252">
        <v>0.6</v>
      </c>
      <c r="AV9" s="208"/>
      <c r="AW9" s="208"/>
      <c r="AX9" s="282" t="s">
        <v>161</v>
      </c>
      <c r="AY9" s="219" t="s">
        <v>236</v>
      </c>
      <c r="AZ9" s="46"/>
      <c r="BA9" s="2" t="s">
        <v>194</v>
      </c>
      <c r="BB9" s="142"/>
      <c r="BC9" s="342" t="str">
        <f>+$F$43</f>
        <v>Hindbær Snaps før bærrene er siet fra og sødemidler tilsat</v>
      </c>
      <c r="BD9" s="342"/>
      <c r="BE9" s="342"/>
      <c r="BF9" s="342"/>
      <c r="BG9" s="342"/>
      <c r="BH9" s="342"/>
      <c r="BI9" s="342"/>
      <c r="BJ9" s="342"/>
      <c r="BK9" s="342"/>
      <c r="BL9" s="46"/>
      <c r="BM9" s="163"/>
      <c r="BN9" s="163"/>
      <c r="BO9" s="163"/>
      <c r="BP9" s="163"/>
      <c r="BQ9" s="163"/>
      <c r="BR9" s="163"/>
      <c r="BS9" s="163"/>
      <c r="BT9" s="163"/>
      <c r="BU9" s="163"/>
      <c r="BV9" s="163"/>
    </row>
    <row r="10" spans="1:74" ht="20.100000000000001" customHeight="1" thickBot="1">
      <c r="A10" s="76" t="s">
        <v>152</v>
      </c>
      <c r="B10" s="124">
        <v>0</v>
      </c>
      <c r="C10" s="234">
        <f>B10/D10</f>
        <v>0</v>
      </c>
      <c r="D10" s="87">
        <v>1.2613000000000001</v>
      </c>
      <c r="E10" s="79" t="s">
        <v>62</v>
      </c>
      <c r="F10" s="313"/>
      <c r="G10" s="46" t="s">
        <v>78</v>
      </c>
      <c r="H10" s="79"/>
      <c r="I10" s="46"/>
      <c r="J10" s="84">
        <v>0</v>
      </c>
      <c r="K10" s="83">
        <f>+J10/$L$6</f>
        <v>0</v>
      </c>
      <c r="L10" s="85"/>
      <c r="M10" s="46" t="s">
        <v>268</v>
      </c>
      <c r="N10" s="315">
        <f>+J10</f>
        <v>0</v>
      </c>
      <c r="O10" s="134" t="s">
        <v>17</v>
      </c>
      <c r="P10" s="71"/>
      <c r="Q10" s="16" t="str">
        <f>+$W$2</f>
        <v>Gram Sukker</v>
      </c>
      <c r="R10" s="72">
        <f>VLOOKUP($Q$8,$S$3:$AG$33,7)</f>
        <v>0</v>
      </c>
      <c r="S10" s="4" t="s">
        <v>14</v>
      </c>
      <c r="T10" s="7">
        <v>0.79</v>
      </c>
      <c r="U10" s="8">
        <v>0.17499999999999999</v>
      </c>
      <c r="V10" s="73">
        <f t="shared" si="21"/>
        <v>197.5</v>
      </c>
      <c r="W10" s="74">
        <f t="shared" si="22"/>
        <v>43.75</v>
      </c>
      <c r="X10" s="73">
        <f t="shared" si="2"/>
        <v>0</v>
      </c>
      <c r="Y10" s="75">
        <f t="shared" si="3"/>
        <v>0</v>
      </c>
      <c r="Z10" s="64">
        <f t="shared" si="19"/>
        <v>0</v>
      </c>
      <c r="AA10" s="65">
        <f t="shared" si="20"/>
        <v>0</v>
      </c>
      <c r="AB10" s="64">
        <f t="shared" si="4"/>
        <v>0</v>
      </c>
      <c r="AC10" s="66">
        <f t="shared" si="5"/>
        <v>0</v>
      </c>
      <c r="AD10" s="73">
        <f t="shared" si="6"/>
        <v>0</v>
      </c>
      <c r="AE10" s="75">
        <f t="shared" si="7"/>
        <v>0</v>
      </c>
      <c r="AF10" s="73">
        <f t="shared" si="8"/>
        <v>0</v>
      </c>
      <c r="AG10" s="74">
        <f t="shared" si="9"/>
        <v>0</v>
      </c>
      <c r="AH10" s="64">
        <f t="shared" si="10"/>
        <v>0</v>
      </c>
      <c r="AI10" s="65">
        <f t="shared" si="11"/>
        <v>0</v>
      </c>
      <c r="AJ10" s="64">
        <f t="shared" si="12"/>
        <v>0</v>
      </c>
      <c r="AK10" s="65">
        <f t="shared" si="13"/>
        <v>0</v>
      </c>
      <c r="AL10" s="64">
        <f t="shared" si="14"/>
        <v>0</v>
      </c>
      <c r="AM10" s="65">
        <f t="shared" si="15"/>
        <v>0</v>
      </c>
      <c r="AN10" s="64">
        <f t="shared" si="16"/>
        <v>0</v>
      </c>
      <c r="AO10" s="65">
        <f t="shared" si="17"/>
        <v>0</v>
      </c>
      <c r="AP10" s="46"/>
      <c r="AQ10" s="26">
        <v>0.92</v>
      </c>
      <c r="AR10" s="392"/>
      <c r="AS10" s="290"/>
      <c r="AT10" s="211" t="s">
        <v>189</v>
      </c>
      <c r="AU10" s="252">
        <v>0.8</v>
      </c>
      <c r="AV10" s="123"/>
      <c r="AW10" s="123"/>
      <c r="AX10" s="282" t="s">
        <v>139</v>
      </c>
      <c r="AY10" s="219" t="s">
        <v>235</v>
      </c>
      <c r="AZ10" s="46"/>
      <c r="BB10" s="209"/>
      <c r="BC10" s="209"/>
      <c r="BD10" s="209"/>
      <c r="BE10" s="209"/>
      <c r="BF10" s="209"/>
      <c r="BG10" s="209"/>
      <c r="BH10" s="209"/>
      <c r="BI10" s="142"/>
      <c r="BJ10" s="142"/>
      <c r="BK10" s="142"/>
      <c r="BL10" s="46"/>
      <c r="BM10" s="163"/>
      <c r="BN10" s="163"/>
      <c r="BO10" s="163"/>
      <c r="BP10" s="163"/>
      <c r="BQ10" s="163"/>
      <c r="BR10" s="163"/>
      <c r="BS10" s="163"/>
      <c r="BT10" s="163"/>
      <c r="BU10" s="163"/>
      <c r="BV10" s="163"/>
    </row>
    <row r="11" spans="1:74" ht="20.100000000000001" customHeight="1" thickBot="1">
      <c r="A11" s="76" t="s">
        <v>116</v>
      </c>
      <c r="B11" s="124">
        <v>0</v>
      </c>
      <c r="C11" s="234">
        <f>B11/D11</f>
        <v>0</v>
      </c>
      <c r="D11" s="147">
        <v>1.4</v>
      </c>
      <c r="E11" s="79" t="s">
        <v>62</v>
      </c>
      <c r="F11" s="312">
        <f>SUM(B8:B11)</f>
        <v>0</v>
      </c>
      <c r="G11" s="46" t="s">
        <v>77</v>
      </c>
      <c r="H11" s="79"/>
      <c r="I11" s="46"/>
      <c r="J11" s="84">
        <f>(+R4+R10+R16+R22+R28+R34+R40+R46+R52+R58)*B23</f>
        <v>14.49</v>
      </c>
      <c r="K11" s="83"/>
      <c r="L11" s="89">
        <f>+J11</f>
        <v>14.49</v>
      </c>
      <c r="M11" s="46"/>
      <c r="N11" s="316">
        <f>ROUND(N8+N9+N10,0)</f>
        <v>618</v>
      </c>
      <c r="O11" s="135" t="s">
        <v>95</v>
      </c>
      <c r="P11" s="46"/>
      <c r="Q11" s="17"/>
      <c r="R11" s="17"/>
      <c r="S11" s="3" t="s">
        <v>15</v>
      </c>
      <c r="T11" s="9">
        <v>4.1000000000000002E-2</v>
      </c>
      <c r="U11" s="10">
        <v>0.21099999999999999</v>
      </c>
      <c r="V11" s="73">
        <f t="shared" si="21"/>
        <v>10.25</v>
      </c>
      <c r="W11" s="74">
        <f t="shared" si="22"/>
        <v>52.75</v>
      </c>
      <c r="X11" s="73">
        <f t="shared" si="2"/>
        <v>0</v>
      </c>
      <c r="Y11" s="75">
        <f t="shared" si="3"/>
        <v>0</v>
      </c>
      <c r="Z11" s="64">
        <f t="shared" si="19"/>
        <v>0</v>
      </c>
      <c r="AA11" s="65">
        <f t="shared" si="20"/>
        <v>0</v>
      </c>
      <c r="AB11" s="64">
        <f t="shared" si="4"/>
        <v>0</v>
      </c>
      <c r="AC11" s="66">
        <f t="shared" si="5"/>
        <v>0</v>
      </c>
      <c r="AD11" s="73">
        <f t="shared" si="6"/>
        <v>0</v>
      </c>
      <c r="AE11" s="75">
        <f t="shared" si="7"/>
        <v>0</v>
      </c>
      <c r="AF11" s="73">
        <f t="shared" si="8"/>
        <v>0</v>
      </c>
      <c r="AG11" s="74">
        <f t="shared" si="9"/>
        <v>0</v>
      </c>
      <c r="AH11" s="64">
        <f t="shared" si="10"/>
        <v>0</v>
      </c>
      <c r="AI11" s="65">
        <f t="shared" si="11"/>
        <v>0</v>
      </c>
      <c r="AJ11" s="64">
        <f t="shared" si="12"/>
        <v>0</v>
      </c>
      <c r="AK11" s="65">
        <f t="shared" si="13"/>
        <v>0</v>
      </c>
      <c r="AL11" s="64">
        <f t="shared" si="14"/>
        <v>0</v>
      </c>
      <c r="AM11" s="65">
        <f t="shared" si="15"/>
        <v>0</v>
      </c>
      <c r="AN11" s="64">
        <f t="shared" si="16"/>
        <v>0</v>
      </c>
      <c r="AO11" s="65">
        <f t="shared" si="17"/>
        <v>0</v>
      </c>
      <c r="AP11" s="46"/>
      <c r="AQ11" s="26">
        <v>0.91</v>
      </c>
      <c r="AR11" s="268">
        <v>0.9</v>
      </c>
      <c r="AS11" s="290"/>
      <c r="AT11" s="211" t="s">
        <v>176</v>
      </c>
      <c r="AU11" s="252">
        <v>0</v>
      </c>
      <c r="AV11" s="123"/>
      <c r="AW11" s="123"/>
      <c r="AX11" s="283" t="s">
        <v>177</v>
      </c>
      <c r="AY11" s="220" t="s">
        <v>235</v>
      </c>
      <c r="AZ11" s="46"/>
      <c r="BA11" s="342" t="s">
        <v>145</v>
      </c>
      <c r="BB11" s="342"/>
      <c r="BC11" s="342"/>
      <c r="BD11" s="342"/>
      <c r="BE11" s="342"/>
      <c r="BF11" s="345" t="str">
        <f>+$BD$3</f>
        <v>Kryddersnaps</v>
      </c>
      <c r="BG11" s="345"/>
      <c r="BH11" s="381" t="str">
        <f>CONCATENATE($O$62,$Q$62)</f>
        <v>250 gram bær bestående af:</v>
      </c>
      <c r="BI11" s="381"/>
      <c r="BJ11" s="381"/>
      <c r="BK11" s="381"/>
      <c r="BL11" s="46"/>
      <c r="BM11" s="163"/>
      <c r="BN11" s="163"/>
      <c r="BO11" s="163"/>
      <c r="BP11" s="163"/>
      <c r="BQ11" s="163"/>
      <c r="BR11" s="163"/>
      <c r="BS11" s="163"/>
      <c r="BT11" s="163"/>
      <c r="BU11" s="163"/>
      <c r="BV11" s="163"/>
    </row>
    <row r="12" spans="1:74" ht="20.100000000000001" customHeight="1" thickBot="1">
      <c r="A12" s="366" t="s">
        <v>183</v>
      </c>
      <c r="B12" s="368"/>
      <c r="C12" s="368"/>
      <c r="D12" s="368"/>
      <c r="E12" s="368"/>
      <c r="F12" s="296"/>
      <c r="G12" s="46" t="s">
        <v>83</v>
      </c>
      <c r="H12" s="79"/>
      <c r="I12" s="46"/>
      <c r="J12" s="90">
        <f t="shared" ref="J12:K15" si="23">+B8</f>
        <v>0</v>
      </c>
      <c r="K12" s="83">
        <f t="shared" si="23"/>
        <v>0</v>
      </c>
      <c r="L12" s="89">
        <f>+J12*I37</f>
        <v>0</v>
      </c>
      <c r="M12" s="46"/>
      <c r="N12" s="317"/>
      <c r="O12" s="136">
        <v>0</v>
      </c>
      <c r="P12" s="17"/>
      <c r="Q12" s="17"/>
      <c r="R12" s="17"/>
      <c r="S12" s="4" t="s">
        <v>16</v>
      </c>
      <c r="T12" s="7">
        <v>0.82599999999999996</v>
      </c>
      <c r="U12" s="11">
        <v>6.2E-2</v>
      </c>
      <c r="V12" s="73">
        <f t="shared" si="21"/>
        <v>206.5</v>
      </c>
      <c r="W12" s="74">
        <f t="shared" si="22"/>
        <v>15.5</v>
      </c>
      <c r="X12" s="73">
        <f t="shared" si="2"/>
        <v>0</v>
      </c>
      <c r="Y12" s="75">
        <f t="shared" si="3"/>
        <v>0</v>
      </c>
      <c r="Z12" s="64">
        <f t="shared" si="19"/>
        <v>0</v>
      </c>
      <c r="AA12" s="65">
        <f t="shared" si="20"/>
        <v>0</v>
      </c>
      <c r="AB12" s="64">
        <f t="shared" si="4"/>
        <v>0</v>
      </c>
      <c r="AC12" s="66">
        <f t="shared" si="5"/>
        <v>0</v>
      </c>
      <c r="AD12" s="73">
        <f t="shared" si="6"/>
        <v>0</v>
      </c>
      <c r="AE12" s="75">
        <f t="shared" si="7"/>
        <v>0</v>
      </c>
      <c r="AF12" s="73">
        <f t="shared" si="8"/>
        <v>0</v>
      </c>
      <c r="AG12" s="74">
        <f t="shared" si="9"/>
        <v>0</v>
      </c>
      <c r="AH12" s="64">
        <f t="shared" si="10"/>
        <v>0</v>
      </c>
      <c r="AI12" s="65">
        <f t="shared" si="11"/>
        <v>0</v>
      </c>
      <c r="AJ12" s="64">
        <f t="shared" si="12"/>
        <v>0</v>
      </c>
      <c r="AK12" s="65">
        <f t="shared" si="13"/>
        <v>0</v>
      </c>
      <c r="AL12" s="64">
        <f t="shared" si="14"/>
        <v>0</v>
      </c>
      <c r="AM12" s="65">
        <f t="shared" si="15"/>
        <v>0</v>
      </c>
      <c r="AN12" s="64">
        <f t="shared" si="16"/>
        <v>0</v>
      </c>
      <c r="AO12" s="65">
        <f t="shared" si="17"/>
        <v>0</v>
      </c>
      <c r="AP12" s="46"/>
      <c r="AQ12" s="27">
        <v>0.9</v>
      </c>
      <c r="AR12" s="427" t="s">
        <v>109</v>
      </c>
      <c r="AS12" s="290"/>
      <c r="AT12" s="211" t="s">
        <v>141</v>
      </c>
      <c r="AU12" s="255">
        <v>0.375</v>
      </c>
      <c r="AV12" s="123"/>
      <c r="AW12" s="123"/>
      <c r="AX12" s="163"/>
      <c r="AY12" s="163"/>
      <c r="AZ12" s="46"/>
      <c r="BA12" s="142"/>
      <c r="BB12" s="142"/>
      <c r="BC12" s="142"/>
      <c r="BD12" s="142"/>
      <c r="BE12" s="142"/>
      <c r="BF12" s="142"/>
      <c r="BG12" s="142"/>
      <c r="BH12" s="142"/>
      <c r="BI12" s="142"/>
      <c r="BJ12" s="142"/>
      <c r="BK12" s="142"/>
      <c r="BL12" s="46"/>
      <c r="BM12" s="163"/>
      <c r="BN12" s="163"/>
      <c r="BO12" s="163"/>
      <c r="BP12" s="163"/>
      <c r="BQ12" s="163"/>
      <c r="BR12" s="163"/>
      <c r="BS12" s="163"/>
      <c r="BT12" s="163"/>
      <c r="BU12" s="163"/>
      <c r="BV12" s="163"/>
    </row>
    <row r="13" spans="1:74" ht="20.100000000000001" customHeight="1" thickBot="1">
      <c r="A13" s="163"/>
      <c r="B13" s="163"/>
      <c r="C13" s="163"/>
      <c r="D13" s="163"/>
      <c r="E13" s="163"/>
      <c r="F13" s="295"/>
      <c r="G13" s="46" t="s">
        <v>84</v>
      </c>
      <c r="H13" s="79"/>
      <c r="I13" s="46"/>
      <c r="J13" s="90">
        <f t="shared" si="23"/>
        <v>0</v>
      </c>
      <c r="K13" s="141">
        <f t="shared" si="23"/>
        <v>0</v>
      </c>
      <c r="L13" s="89">
        <f>+J13*I38</f>
        <v>0</v>
      </c>
      <c r="M13" s="46"/>
      <c r="N13" s="56"/>
      <c r="O13" s="46"/>
      <c r="P13" s="18"/>
      <c r="Q13" s="18"/>
      <c r="R13" s="18"/>
      <c r="S13" s="3" t="s">
        <v>17</v>
      </c>
      <c r="T13" s="9">
        <v>0.85899999999999999</v>
      </c>
      <c r="U13" s="10">
        <v>6.9000000000000006E-2</v>
      </c>
      <c r="V13" s="73">
        <f t="shared" si="21"/>
        <v>214.75</v>
      </c>
      <c r="W13" s="74">
        <f t="shared" si="22"/>
        <v>17.25</v>
      </c>
      <c r="X13" s="73">
        <f t="shared" si="2"/>
        <v>0</v>
      </c>
      <c r="Y13" s="75">
        <f t="shared" si="3"/>
        <v>0</v>
      </c>
      <c r="Z13" s="64">
        <f t="shared" si="19"/>
        <v>0</v>
      </c>
      <c r="AA13" s="65">
        <f t="shared" si="20"/>
        <v>0</v>
      </c>
      <c r="AB13" s="64">
        <f t="shared" si="4"/>
        <v>0</v>
      </c>
      <c r="AC13" s="66">
        <f t="shared" si="5"/>
        <v>0</v>
      </c>
      <c r="AD13" s="73">
        <f t="shared" si="6"/>
        <v>0</v>
      </c>
      <c r="AE13" s="75">
        <f t="shared" si="7"/>
        <v>0</v>
      </c>
      <c r="AF13" s="73">
        <f t="shared" si="8"/>
        <v>0</v>
      </c>
      <c r="AG13" s="74">
        <f t="shared" si="9"/>
        <v>0</v>
      </c>
      <c r="AH13" s="64">
        <f t="shared" si="10"/>
        <v>0</v>
      </c>
      <c r="AI13" s="65">
        <f t="shared" si="11"/>
        <v>0</v>
      </c>
      <c r="AJ13" s="64">
        <f t="shared" si="12"/>
        <v>0</v>
      </c>
      <c r="AK13" s="65">
        <f t="shared" si="13"/>
        <v>0</v>
      </c>
      <c r="AL13" s="64">
        <f t="shared" si="14"/>
        <v>0</v>
      </c>
      <c r="AM13" s="65">
        <f t="shared" si="15"/>
        <v>0</v>
      </c>
      <c r="AN13" s="64">
        <f t="shared" si="16"/>
        <v>0</v>
      </c>
      <c r="AO13" s="65">
        <f t="shared" si="17"/>
        <v>0</v>
      </c>
      <c r="AP13" s="46"/>
      <c r="AQ13" s="28">
        <v>0.89</v>
      </c>
      <c r="AR13" s="428"/>
      <c r="AS13" s="290"/>
      <c r="AT13" s="211" t="s">
        <v>175</v>
      </c>
      <c r="AU13" s="252">
        <v>0.38</v>
      </c>
      <c r="AV13" s="163"/>
      <c r="AW13" s="163"/>
      <c r="AX13" s="163"/>
      <c r="AY13" s="163"/>
      <c r="AZ13" s="46"/>
      <c r="BA13" s="142" t="str">
        <f>IF(O6 &lt;=0,"",O4)</f>
        <v>Hindbær</v>
      </c>
      <c r="BB13" s="142"/>
      <c r="BC13" s="142" t="str">
        <f>IF(O12 &lt;=0,"",O10)</f>
        <v/>
      </c>
      <c r="BD13" s="142"/>
      <c r="BE13" s="142" t="str">
        <f>IF(O18 &lt;=0,"",O16)</f>
        <v/>
      </c>
      <c r="BF13" s="142"/>
      <c r="BG13" s="142" t="str">
        <f>IF(O24 &lt;=0,"",O22)</f>
        <v/>
      </c>
      <c r="BH13" s="142"/>
      <c r="BI13" s="142" t="str">
        <f>IF(O30 &lt;=0,"",O28)</f>
        <v/>
      </c>
      <c r="BJ13" s="142"/>
      <c r="BK13" s="142"/>
      <c r="BL13" s="46"/>
      <c r="BM13" s="163"/>
      <c r="BN13" s="163"/>
      <c r="BO13" s="163"/>
      <c r="BP13" s="163"/>
      <c r="BQ13" s="163"/>
      <c r="BR13" s="163"/>
      <c r="BS13" s="163"/>
      <c r="BT13" s="163"/>
      <c r="BU13" s="163"/>
      <c r="BV13" s="163"/>
    </row>
    <row r="14" spans="1:74" ht="20.100000000000001" customHeight="1" thickBot="1">
      <c r="A14" s="371" t="str">
        <f>IF(OR($M$1="RomTopf",$M$1="To Alkoholer"),"Fuld Stop her under!","Husk at sætte B23 til 100%")</f>
        <v>Husk at sætte B23 til 100%</v>
      </c>
      <c r="B14" s="372"/>
      <c r="C14" s="372"/>
      <c r="D14" s="372"/>
      <c r="E14" s="372"/>
      <c r="F14" s="288"/>
      <c r="G14" s="46" t="s">
        <v>85</v>
      </c>
      <c r="H14" s="79"/>
      <c r="I14" s="46"/>
      <c r="J14" s="90">
        <f t="shared" si="23"/>
        <v>0</v>
      </c>
      <c r="K14" s="83">
        <f t="shared" si="23"/>
        <v>0</v>
      </c>
      <c r="L14" s="91">
        <f>+J14*M14</f>
        <v>0</v>
      </c>
      <c r="M14" s="335">
        <v>26</v>
      </c>
      <c r="N14" s="56"/>
      <c r="O14" s="132" t="s">
        <v>48</v>
      </c>
      <c r="P14" s="86"/>
      <c r="Q14" s="50" t="str">
        <f>+O16</f>
        <v>Jordbær</v>
      </c>
      <c r="R14" s="49" t="s">
        <v>46</v>
      </c>
      <c r="S14" s="3" t="s">
        <v>18</v>
      </c>
      <c r="T14" s="5">
        <v>0.2</v>
      </c>
      <c r="U14" s="12">
        <v>0.75</v>
      </c>
      <c r="V14" s="73">
        <f t="shared" si="21"/>
        <v>50</v>
      </c>
      <c r="W14" s="74">
        <f t="shared" si="22"/>
        <v>187.5</v>
      </c>
      <c r="X14" s="73">
        <f t="shared" si="2"/>
        <v>0</v>
      </c>
      <c r="Y14" s="75">
        <f t="shared" si="3"/>
        <v>0</v>
      </c>
      <c r="Z14" s="64">
        <f t="shared" si="19"/>
        <v>0</v>
      </c>
      <c r="AA14" s="65">
        <f t="shared" si="20"/>
        <v>0</v>
      </c>
      <c r="AB14" s="64">
        <f t="shared" si="4"/>
        <v>0</v>
      </c>
      <c r="AC14" s="66">
        <f t="shared" si="5"/>
        <v>0</v>
      </c>
      <c r="AD14" s="73">
        <f t="shared" si="6"/>
        <v>0</v>
      </c>
      <c r="AE14" s="75">
        <f t="shared" si="7"/>
        <v>0</v>
      </c>
      <c r="AF14" s="73">
        <f t="shared" si="8"/>
        <v>0</v>
      </c>
      <c r="AG14" s="74">
        <f t="shared" si="9"/>
        <v>0</v>
      </c>
      <c r="AH14" s="64">
        <f t="shared" si="10"/>
        <v>0</v>
      </c>
      <c r="AI14" s="65">
        <f t="shared" si="11"/>
        <v>0</v>
      </c>
      <c r="AJ14" s="64">
        <f t="shared" si="12"/>
        <v>0</v>
      </c>
      <c r="AK14" s="65">
        <f t="shared" si="13"/>
        <v>0</v>
      </c>
      <c r="AL14" s="64">
        <f t="shared" si="14"/>
        <v>0</v>
      </c>
      <c r="AM14" s="65">
        <f t="shared" si="15"/>
        <v>0</v>
      </c>
      <c r="AN14" s="64">
        <f t="shared" si="16"/>
        <v>0</v>
      </c>
      <c r="AO14" s="65">
        <f t="shared" si="17"/>
        <v>0</v>
      </c>
      <c r="AP14" s="46"/>
      <c r="AQ14" s="28">
        <v>0.88</v>
      </c>
      <c r="AR14" s="428"/>
      <c r="AS14" s="290"/>
      <c r="AT14" s="211" t="s">
        <v>158</v>
      </c>
      <c r="AU14" s="254">
        <v>0.4</v>
      </c>
      <c r="AV14" s="163"/>
      <c r="AW14" s="163"/>
      <c r="AX14" s="163"/>
      <c r="AY14" s="163"/>
      <c r="AZ14" s="46"/>
      <c r="BA14" s="190">
        <f>IF(O6 &lt;=0,"",O6)</f>
        <v>250</v>
      </c>
      <c r="BB14" s="190"/>
      <c r="BC14" s="190" t="str">
        <f>IF(O12 &lt;=0,"",O12)</f>
        <v/>
      </c>
      <c r="BD14" s="190"/>
      <c r="BE14" s="190" t="str">
        <f>IF(O18 &lt;=0,"",O18)</f>
        <v/>
      </c>
      <c r="BF14" s="190"/>
      <c r="BG14" s="190" t="str">
        <f>IF(O24 &lt;=0,"",O24)</f>
        <v/>
      </c>
      <c r="BH14" s="190"/>
      <c r="BI14" s="190" t="str">
        <f>IF(O30&lt;=0,"",O30)</f>
        <v/>
      </c>
      <c r="BJ14" s="142"/>
      <c r="BK14" s="142"/>
      <c r="BL14" s="46"/>
      <c r="BM14" s="163"/>
      <c r="BN14" s="163"/>
      <c r="BO14" s="163"/>
      <c r="BP14" s="163"/>
      <c r="BQ14" s="163"/>
      <c r="BR14" s="163"/>
      <c r="BS14" s="163"/>
      <c r="BT14" s="163"/>
      <c r="BU14" s="163"/>
      <c r="BV14" s="163"/>
    </row>
    <row r="15" spans="1:74" ht="20.100000000000001" customHeight="1">
      <c r="A15" s="366" t="s">
        <v>121</v>
      </c>
      <c r="B15" s="368"/>
      <c r="C15" s="368"/>
      <c r="D15" s="368"/>
      <c r="E15" s="368"/>
      <c r="F15" s="295"/>
      <c r="G15" s="46" t="s">
        <v>117</v>
      </c>
      <c r="H15" s="79"/>
      <c r="I15" s="46"/>
      <c r="J15" s="90">
        <f t="shared" si="23"/>
        <v>0</v>
      </c>
      <c r="K15" s="83">
        <f t="shared" si="23"/>
        <v>0</v>
      </c>
      <c r="L15" s="89">
        <f>+J15*I41</f>
        <v>0</v>
      </c>
      <c r="M15" s="336" t="s">
        <v>271</v>
      </c>
      <c r="N15" s="56"/>
      <c r="O15" s="137" t="s">
        <v>43</v>
      </c>
      <c r="P15" s="17"/>
      <c r="Q15" s="59" t="str">
        <f>+$V$2</f>
        <v>Gram Vand</v>
      </c>
      <c r="R15" s="60">
        <f>VLOOKUP($Q$14,$S$3:$AG$33,8)</f>
        <v>0</v>
      </c>
      <c r="S15" s="3" t="s">
        <v>19</v>
      </c>
      <c r="T15" s="9">
        <v>0.83399999999999996</v>
      </c>
      <c r="U15" s="10">
        <v>8.5999999999999993E-2</v>
      </c>
      <c r="V15" s="73">
        <f t="shared" si="21"/>
        <v>208.5</v>
      </c>
      <c r="W15" s="74">
        <f t="shared" si="22"/>
        <v>21.5</v>
      </c>
      <c r="X15" s="73">
        <f t="shared" si="2"/>
        <v>0</v>
      </c>
      <c r="Y15" s="75">
        <f t="shared" si="3"/>
        <v>0</v>
      </c>
      <c r="Z15" s="64">
        <f t="shared" si="19"/>
        <v>0</v>
      </c>
      <c r="AA15" s="65">
        <f t="shared" si="20"/>
        <v>0</v>
      </c>
      <c r="AB15" s="64">
        <f t="shared" si="4"/>
        <v>0</v>
      </c>
      <c r="AC15" s="66">
        <f t="shared" si="5"/>
        <v>0</v>
      </c>
      <c r="AD15" s="73">
        <f t="shared" si="6"/>
        <v>0</v>
      </c>
      <c r="AE15" s="75">
        <f t="shared" si="7"/>
        <v>0</v>
      </c>
      <c r="AF15" s="73">
        <f t="shared" si="8"/>
        <v>0</v>
      </c>
      <c r="AG15" s="74">
        <f t="shared" si="9"/>
        <v>0</v>
      </c>
      <c r="AH15" s="64">
        <f t="shared" si="10"/>
        <v>0</v>
      </c>
      <c r="AI15" s="65">
        <f t="shared" si="11"/>
        <v>0</v>
      </c>
      <c r="AJ15" s="64">
        <f t="shared" si="12"/>
        <v>0</v>
      </c>
      <c r="AK15" s="65">
        <f t="shared" si="13"/>
        <v>0</v>
      </c>
      <c r="AL15" s="64">
        <f t="shared" si="14"/>
        <v>0</v>
      </c>
      <c r="AM15" s="65">
        <f t="shared" si="15"/>
        <v>0</v>
      </c>
      <c r="AN15" s="64">
        <f t="shared" si="16"/>
        <v>0</v>
      </c>
      <c r="AO15" s="65">
        <f t="shared" si="17"/>
        <v>0</v>
      </c>
      <c r="AP15" s="46"/>
      <c r="AQ15" s="28">
        <v>0.87</v>
      </c>
      <c r="AR15" s="428"/>
      <c r="AS15" s="290"/>
      <c r="AT15" s="211" t="s">
        <v>173</v>
      </c>
      <c r="AU15" s="252">
        <v>0.7</v>
      </c>
      <c r="AV15" s="163"/>
      <c r="AW15" s="163"/>
      <c r="AX15" s="163"/>
      <c r="AY15" s="163"/>
      <c r="AZ15" s="46"/>
      <c r="BA15" s="426" t="str">
        <f>IF(M1="To Alkoholer","Der er ingen bær valgt, det er to alkoholer, som blandes. Hvis der er anført bær, skal fejlen rettes.","")</f>
        <v/>
      </c>
      <c r="BB15" s="426"/>
      <c r="BC15" s="426"/>
      <c r="BD15" s="426"/>
      <c r="BE15" s="426"/>
      <c r="BF15" s="426"/>
      <c r="BG15" s="426"/>
      <c r="BH15" s="426"/>
      <c r="BI15" s="426"/>
      <c r="BJ15" s="426"/>
      <c r="BK15" s="426"/>
      <c r="BL15" s="46"/>
      <c r="BM15" s="163"/>
      <c r="BN15" s="163"/>
      <c r="BO15" s="163"/>
      <c r="BP15" s="163"/>
      <c r="BQ15" s="163"/>
      <c r="BR15" s="163"/>
      <c r="BS15" s="163"/>
      <c r="BT15" s="163"/>
      <c r="BU15" s="163"/>
      <c r="BV15" s="163"/>
    </row>
    <row r="16" spans="1:74" ht="20.100000000000001" customHeight="1" thickBot="1">
      <c r="A16" s="366" t="s">
        <v>185</v>
      </c>
      <c r="B16" s="368"/>
      <c r="C16" s="368"/>
      <c r="D16" s="368"/>
      <c r="E16" s="368"/>
      <c r="F16" s="295"/>
      <c r="G16" s="46" t="s">
        <v>79</v>
      </c>
      <c r="H16" s="79"/>
      <c r="I16" s="46"/>
      <c r="J16" s="90">
        <f>+K5</f>
        <v>207.50000000000006</v>
      </c>
      <c r="K16" s="83">
        <f>+J5</f>
        <v>262.5</v>
      </c>
      <c r="L16" s="85"/>
      <c r="M16" s="46"/>
      <c r="N16" s="56"/>
      <c r="O16" s="134" t="s">
        <v>20</v>
      </c>
      <c r="P16" s="71"/>
      <c r="Q16" s="16" t="str">
        <f>+$W$2</f>
        <v>Gram Sukker</v>
      </c>
      <c r="R16" s="72">
        <f>VLOOKUP($Q$14,$S$3:$AG$33,9)</f>
        <v>0</v>
      </c>
      <c r="S16" s="3" t="s">
        <v>20</v>
      </c>
      <c r="T16" s="9">
        <v>0.89600000000000002</v>
      </c>
      <c r="U16" s="6">
        <v>7.2999999999999995E-2</v>
      </c>
      <c r="V16" s="73">
        <f t="shared" si="21"/>
        <v>224</v>
      </c>
      <c r="W16" s="74">
        <f t="shared" si="22"/>
        <v>18.25</v>
      </c>
      <c r="X16" s="73">
        <f t="shared" si="2"/>
        <v>0</v>
      </c>
      <c r="Y16" s="75">
        <f t="shared" si="3"/>
        <v>0</v>
      </c>
      <c r="Z16" s="64">
        <f t="shared" si="19"/>
        <v>0</v>
      </c>
      <c r="AA16" s="65">
        <f t="shared" si="20"/>
        <v>0</v>
      </c>
      <c r="AB16" s="64">
        <f t="shared" si="4"/>
        <v>0</v>
      </c>
      <c r="AC16" s="66">
        <f t="shared" si="5"/>
        <v>0</v>
      </c>
      <c r="AD16" s="73">
        <f t="shared" si="6"/>
        <v>0</v>
      </c>
      <c r="AE16" s="75">
        <f t="shared" si="7"/>
        <v>0</v>
      </c>
      <c r="AF16" s="73">
        <f t="shared" si="8"/>
        <v>0</v>
      </c>
      <c r="AG16" s="74">
        <f t="shared" si="9"/>
        <v>0</v>
      </c>
      <c r="AH16" s="64">
        <f t="shared" si="10"/>
        <v>0</v>
      </c>
      <c r="AI16" s="65">
        <f t="shared" si="11"/>
        <v>0</v>
      </c>
      <c r="AJ16" s="64">
        <f t="shared" si="12"/>
        <v>0</v>
      </c>
      <c r="AK16" s="65">
        <f t="shared" si="13"/>
        <v>0</v>
      </c>
      <c r="AL16" s="64">
        <f t="shared" si="14"/>
        <v>0</v>
      </c>
      <c r="AM16" s="65">
        <f t="shared" si="15"/>
        <v>0</v>
      </c>
      <c r="AN16" s="64">
        <f t="shared" si="16"/>
        <v>0</v>
      </c>
      <c r="AO16" s="65">
        <f t="shared" si="17"/>
        <v>0</v>
      </c>
      <c r="AP16" s="46"/>
      <c r="AQ16" s="28">
        <v>0.86</v>
      </c>
      <c r="AR16" s="428"/>
      <c r="AS16" s="290"/>
      <c r="AT16" s="211" t="s">
        <v>174</v>
      </c>
      <c r="AU16" s="252">
        <v>0.88</v>
      </c>
      <c r="AV16" s="163"/>
      <c r="AW16" s="163"/>
      <c r="AX16" s="163"/>
      <c r="AY16" s="163"/>
      <c r="AZ16" s="46"/>
      <c r="BA16" s="142" t="str">
        <f>IF(O36 &lt;=0,"",O34)</f>
        <v/>
      </c>
      <c r="BB16" s="142"/>
      <c r="BC16" s="142" t="str">
        <f>IF(O42&lt;=0,"",O40)</f>
        <v/>
      </c>
      <c r="BD16" s="142"/>
      <c r="BE16" s="142" t="str">
        <f>IF(O48 &lt;=0,"",O46)</f>
        <v/>
      </c>
      <c r="BF16" s="142"/>
      <c r="BG16" s="142" t="str">
        <f>IF(O54 &lt;=0,"",O52)</f>
        <v/>
      </c>
      <c r="BH16" s="142"/>
      <c r="BI16" s="142" t="str">
        <f>IF(O60 &lt;=0,"",O58)</f>
        <v/>
      </c>
      <c r="BJ16" s="142"/>
      <c r="BK16" s="142"/>
      <c r="BL16" s="46"/>
      <c r="BM16" s="163"/>
      <c r="BN16" s="163"/>
      <c r="BO16" s="163"/>
      <c r="BP16" s="163"/>
      <c r="BQ16" s="163"/>
      <c r="BR16" s="163"/>
      <c r="BS16" s="163"/>
      <c r="BT16" s="163"/>
      <c r="BU16" s="163"/>
      <c r="BV16" s="163"/>
    </row>
    <row r="17" spans="1:85" ht="20.100000000000001" customHeight="1" thickBot="1">
      <c r="A17" s="76"/>
      <c r="B17" s="184">
        <f>ROUND(K17,0)</f>
        <v>882</v>
      </c>
      <c r="C17" s="185" t="s">
        <v>0</v>
      </c>
      <c r="D17" s="369" t="s">
        <v>129</v>
      </c>
      <c r="E17" s="370"/>
      <c r="F17" s="295"/>
      <c r="G17" s="92" t="s">
        <v>64</v>
      </c>
      <c r="H17" s="93"/>
      <c r="I17" s="92"/>
      <c r="J17" s="171">
        <f>SUM(J8:J16)</f>
        <v>839.88000000000011</v>
      </c>
      <c r="K17" s="172">
        <f>SUM(K8:K16)</f>
        <v>881.50110698704168</v>
      </c>
      <c r="L17" s="170">
        <f>SUM(L11:L16)</f>
        <v>14.49</v>
      </c>
      <c r="M17" s="46"/>
      <c r="N17" s="56"/>
      <c r="O17" s="135" t="s">
        <v>95</v>
      </c>
      <c r="P17" s="46"/>
      <c r="Q17" s="17"/>
      <c r="R17" s="17"/>
      <c r="S17" s="3" t="s">
        <v>21</v>
      </c>
      <c r="T17" s="9">
        <v>0.85299999999999998</v>
      </c>
      <c r="U17" s="10">
        <v>0.109</v>
      </c>
      <c r="V17" s="73">
        <f t="shared" si="21"/>
        <v>213.25</v>
      </c>
      <c r="W17" s="74">
        <f t="shared" si="22"/>
        <v>27.25</v>
      </c>
      <c r="X17" s="73">
        <f t="shared" si="2"/>
        <v>0</v>
      </c>
      <c r="Y17" s="75">
        <f t="shared" si="3"/>
        <v>0</v>
      </c>
      <c r="Z17" s="64">
        <f t="shared" si="19"/>
        <v>0</v>
      </c>
      <c r="AA17" s="65">
        <f t="shared" si="20"/>
        <v>0</v>
      </c>
      <c r="AB17" s="64">
        <f t="shared" si="4"/>
        <v>0</v>
      </c>
      <c r="AC17" s="66">
        <f t="shared" si="5"/>
        <v>0</v>
      </c>
      <c r="AD17" s="73">
        <f t="shared" si="6"/>
        <v>0</v>
      </c>
      <c r="AE17" s="75">
        <f t="shared" si="7"/>
        <v>0</v>
      </c>
      <c r="AF17" s="73">
        <f t="shared" si="8"/>
        <v>0</v>
      </c>
      <c r="AG17" s="74">
        <f t="shared" si="9"/>
        <v>0</v>
      </c>
      <c r="AH17" s="64">
        <f t="shared" si="10"/>
        <v>0</v>
      </c>
      <c r="AI17" s="65">
        <f t="shared" si="11"/>
        <v>0</v>
      </c>
      <c r="AJ17" s="64">
        <f t="shared" si="12"/>
        <v>0</v>
      </c>
      <c r="AK17" s="65">
        <f t="shared" si="13"/>
        <v>0</v>
      </c>
      <c r="AL17" s="64">
        <f t="shared" si="14"/>
        <v>0</v>
      </c>
      <c r="AM17" s="65">
        <f t="shared" si="15"/>
        <v>0</v>
      </c>
      <c r="AN17" s="64">
        <f t="shared" si="16"/>
        <v>0</v>
      </c>
      <c r="AO17" s="65">
        <f t="shared" si="17"/>
        <v>0</v>
      </c>
      <c r="AP17" s="46"/>
      <c r="AQ17" s="27">
        <v>0.85</v>
      </c>
      <c r="AR17" s="428"/>
      <c r="AS17" s="290"/>
      <c r="AT17" s="211" t="s">
        <v>159</v>
      </c>
      <c r="AU17" s="252">
        <v>0.4</v>
      </c>
      <c r="AV17" s="163"/>
      <c r="AW17" s="163"/>
      <c r="AX17" s="163"/>
      <c r="AY17" s="163"/>
      <c r="AZ17" s="46"/>
      <c r="BA17" s="190" t="str">
        <f>IF(O36 &lt;=0,"",O36)</f>
        <v/>
      </c>
      <c r="BB17" s="142"/>
      <c r="BC17" s="190" t="str">
        <f>IF(O42 &lt;=0,"",O42)</f>
        <v/>
      </c>
      <c r="BD17" s="142"/>
      <c r="BE17" s="190" t="str">
        <f>IF(O48&lt;=0,"",O48)</f>
        <v/>
      </c>
      <c r="BF17" s="142"/>
      <c r="BG17" s="190" t="str">
        <f>IF(O54 &lt;=0,"",O54)</f>
        <v/>
      </c>
      <c r="BH17" s="142"/>
      <c r="BI17" s="190" t="str">
        <f>IF(O60 &lt;=0,"",O60)</f>
        <v/>
      </c>
      <c r="BJ17" s="142"/>
      <c r="BK17" s="142"/>
      <c r="BL17" s="46"/>
      <c r="BM17" s="163"/>
      <c r="BN17" s="163"/>
      <c r="BO17" s="163"/>
      <c r="BP17" s="163"/>
      <c r="BQ17" s="163"/>
      <c r="BR17" s="163"/>
      <c r="BS17" s="163"/>
      <c r="BT17" s="163"/>
      <c r="BU17" s="163"/>
      <c r="BV17" s="163"/>
    </row>
    <row r="18" spans="1:85" ht="20.100000000000001" customHeight="1" thickTop="1" thickBot="1">
      <c r="A18" s="76"/>
      <c r="B18" s="186">
        <f>500+151+90</f>
        <v>741</v>
      </c>
      <c r="C18" s="185" t="s">
        <v>0</v>
      </c>
      <c r="D18" s="369" t="s">
        <v>259</v>
      </c>
      <c r="E18" s="370"/>
      <c r="F18" s="295"/>
      <c r="G18" s="46"/>
      <c r="H18" s="46"/>
      <c r="I18" s="46"/>
      <c r="J18" s="46"/>
      <c r="K18" s="46"/>
      <c r="L18" s="46"/>
      <c r="M18" s="46"/>
      <c r="N18" s="56"/>
      <c r="O18" s="136">
        <v>0</v>
      </c>
      <c r="P18" s="17"/>
      <c r="Q18" s="17"/>
      <c r="R18" s="17"/>
      <c r="S18" s="4" t="s">
        <v>39</v>
      </c>
      <c r="T18" s="7">
        <v>0.8</v>
      </c>
      <c r="U18" s="8">
        <v>0.159</v>
      </c>
      <c r="V18" s="73">
        <f t="shared" si="21"/>
        <v>200</v>
      </c>
      <c r="W18" s="74">
        <f t="shared" si="22"/>
        <v>39.75</v>
      </c>
      <c r="X18" s="73">
        <f t="shared" si="2"/>
        <v>0</v>
      </c>
      <c r="Y18" s="75">
        <f t="shared" si="3"/>
        <v>0</v>
      </c>
      <c r="Z18" s="64">
        <f t="shared" si="19"/>
        <v>0</v>
      </c>
      <c r="AA18" s="65">
        <f t="shared" si="20"/>
        <v>0</v>
      </c>
      <c r="AB18" s="64">
        <f t="shared" si="4"/>
        <v>0</v>
      </c>
      <c r="AC18" s="66">
        <f t="shared" si="5"/>
        <v>0</v>
      </c>
      <c r="AD18" s="73">
        <f t="shared" si="6"/>
        <v>0</v>
      </c>
      <c r="AE18" s="75">
        <f t="shared" si="7"/>
        <v>0</v>
      </c>
      <c r="AF18" s="73">
        <f t="shared" si="8"/>
        <v>0</v>
      </c>
      <c r="AG18" s="74">
        <f t="shared" si="9"/>
        <v>0</v>
      </c>
      <c r="AH18" s="64">
        <f t="shared" si="10"/>
        <v>0</v>
      </c>
      <c r="AI18" s="65">
        <f t="shared" si="11"/>
        <v>0</v>
      </c>
      <c r="AJ18" s="64">
        <f t="shared" si="12"/>
        <v>0</v>
      </c>
      <c r="AK18" s="65">
        <f t="shared" si="13"/>
        <v>0</v>
      </c>
      <c r="AL18" s="64">
        <f t="shared" si="14"/>
        <v>0</v>
      </c>
      <c r="AM18" s="65">
        <f t="shared" si="15"/>
        <v>0</v>
      </c>
      <c r="AN18" s="64">
        <f t="shared" si="16"/>
        <v>0</v>
      </c>
      <c r="AO18" s="65">
        <f t="shared" si="17"/>
        <v>0</v>
      </c>
      <c r="AP18" s="46"/>
      <c r="AQ18" s="28">
        <v>0.84</v>
      </c>
      <c r="AR18" s="428"/>
      <c r="AS18" s="290"/>
      <c r="AT18" s="211"/>
      <c r="AU18" s="252"/>
      <c r="AV18" s="163"/>
      <c r="AW18" s="163"/>
      <c r="AX18" s="163"/>
      <c r="AY18" s="163"/>
      <c r="AZ18" s="46"/>
      <c r="BA18" s="142"/>
      <c r="BB18" s="142"/>
      <c r="BC18" s="142"/>
      <c r="BD18" s="142"/>
      <c r="BE18" s="142"/>
      <c r="BF18" s="142"/>
      <c r="BG18" s="142"/>
      <c r="BH18" s="142"/>
      <c r="BL18" s="46"/>
      <c r="BM18" s="163"/>
      <c r="BN18" s="163"/>
      <c r="BO18" s="212"/>
      <c r="BP18" s="163"/>
      <c r="BQ18" s="163"/>
      <c r="BR18" s="163"/>
      <c r="BS18" s="163"/>
      <c r="BT18" s="163"/>
      <c r="BU18" s="163"/>
      <c r="BV18" s="163"/>
    </row>
    <row r="19" spans="1:85" ht="20.100000000000001" customHeight="1" thickBot="1">
      <c r="A19" s="76"/>
      <c r="B19" s="270">
        <f>+ROUND(B18/B17,5)</f>
        <v>0.84014</v>
      </c>
      <c r="C19" s="185" t="s">
        <v>6</v>
      </c>
      <c r="D19" s="369" t="s">
        <v>130</v>
      </c>
      <c r="E19" s="370"/>
      <c r="F19" s="295"/>
      <c r="G19" s="94" t="s">
        <v>66</v>
      </c>
      <c r="H19" s="95"/>
      <c r="I19" s="94"/>
      <c r="J19" s="95"/>
      <c r="K19" s="291">
        <f>ROUND(J5/K17,3)</f>
        <v>0.29799999999999999</v>
      </c>
      <c r="L19" s="425" t="s">
        <v>244</v>
      </c>
      <c r="M19" s="425"/>
      <c r="N19" s="56"/>
      <c r="O19" s="46"/>
      <c r="P19" s="46"/>
      <c r="Q19" s="46"/>
      <c r="R19" s="46"/>
      <c r="S19" s="3" t="s">
        <v>36</v>
      </c>
      <c r="T19" s="5">
        <v>0.78900000000000003</v>
      </c>
      <c r="U19" s="6">
        <v>0.19400000000000001</v>
      </c>
      <c r="V19" s="73">
        <f t="shared" si="21"/>
        <v>197.25</v>
      </c>
      <c r="W19" s="74">
        <f t="shared" si="22"/>
        <v>48.5</v>
      </c>
      <c r="X19" s="73">
        <f t="shared" si="2"/>
        <v>0</v>
      </c>
      <c r="Y19" s="75">
        <f t="shared" si="3"/>
        <v>0</v>
      </c>
      <c r="Z19" s="64">
        <f t="shared" si="19"/>
        <v>0</v>
      </c>
      <c r="AA19" s="65">
        <f t="shared" si="20"/>
        <v>0</v>
      </c>
      <c r="AB19" s="64">
        <f t="shared" si="4"/>
        <v>0</v>
      </c>
      <c r="AC19" s="66">
        <f t="shared" si="5"/>
        <v>0</v>
      </c>
      <c r="AD19" s="73">
        <f t="shared" si="6"/>
        <v>0</v>
      </c>
      <c r="AE19" s="75">
        <f t="shared" si="7"/>
        <v>0</v>
      </c>
      <c r="AF19" s="73">
        <f t="shared" si="8"/>
        <v>0</v>
      </c>
      <c r="AG19" s="74">
        <f t="shared" si="9"/>
        <v>0</v>
      </c>
      <c r="AH19" s="64">
        <f t="shared" si="10"/>
        <v>0</v>
      </c>
      <c r="AI19" s="65">
        <f t="shared" si="11"/>
        <v>0</v>
      </c>
      <c r="AJ19" s="64">
        <f t="shared" si="12"/>
        <v>0</v>
      </c>
      <c r="AK19" s="65">
        <f t="shared" si="13"/>
        <v>0</v>
      </c>
      <c r="AL19" s="64">
        <f t="shared" si="14"/>
        <v>0</v>
      </c>
      <c r="AM19" s="65">
        <f t="shared" si="15"/>
        <v>0</v>
      </c>
      <c r="AN19" s="64">
        <f t="shared" si="16"/>
        <v>0</v>
      </c>
      <c r="AO19" s="65">
        <f t="shared" si="17"/>
        <v>0</v>
      </c>
      <c r="AP19" s="46"/>
      <c r="AQ19" s="28">
        <v>0.83</v>
      </c>
      <c r="AR19" s="428"/>
      <c r="AS19" s="258" t="str">
        <f>CONCATENATE("Favorit ",$AU$5*100,"%")</f>
        <v>Favorit 50%</v>
      </c>
      <c r="AT19" s="211"/>
      <c r="AU19" s="252"/>
      <c r="AV19" s="163"/>
      <c r="AW19" s="163"/>
      <c r="AX19" s="163"/>
      <c r="AY19" s="163"/>
      <c r="AZ19" s="46"/>
      <c r="BA19" s="342" t="s">
        <v>205</v>
      </c>
      <c r="BB19" s="342"/>
      <c r="BC19" s="342"/>
      <c r="BD19" s="342"/>
      <c r="BE19" s="342"/>
      <c r="BF19" s="342" t="str">
        <f>CONCATENATE($C$5,$C$2,$D$5*100,$D$2)</f>
        <v>700 ml  37,5  ABV%</v>
      </c>
      <c r="BG19" s="342"/>
      <c r="BH19" s="342"/>
      <c r="BI19" s="345" t="s">
        <v>52</v>
      </c>
      <c r="BJ19" s="345"/>
      <c r="BK19" s="190" t="s">
        <v>0</v>
      </c>
      <c r="BL19" s="46"/>
      <c r="BM19" s="163"/>
      <c r="BN19" s="163"/>
      <c r="BO19" s="81" t="str">
        <f>IF(N11&lt;=0,"Kun naturlig sukker fra bærrene.","")</f>
        <v/>
      </c>
      <c r="BP19" s="163"/>
      <c r="BQ19" s="163"/>
      <c r="BR19" s="163"/>
      <c r="BS19" s="163"/>
      <c r="BT19" s="163"/>
      <c r="BU19" s="163"/>
      <c r="BV19" s="163"/>
    </row>
    <row r="20" spans="1:85" ht="20.100000000000001" customHeight="1" thickBot="1">
      <c r="A20" s="76"/>
      <c r="B20" s="144">
        <f>INT(B19*100)</f>
        <v>84</v>
      </c>
      <c r="C20" s="144">
        <f>INT(B23*100)</f>
        <v>84</v>
      </c>
      <c r="D20" s="46"/>
      <c r="E20" s="46"/>
      <c r="F20" s="295"/>
      <c r="G20" s="94" t="s">
        <v>67</v>
      </c>
      <c r="H20" s="95"/>
      <c r="I20" s="94"/>
      <c r="J20" s="95"/>
      <c r="K20" s="291">
        <f>ROUND(K5/J17,3)</f>
        <v>0.247</v>
      </c>
      <c r="L20" s="425" t="s">
        <v>243</v>
      </c>
      <c r="M20" s="425"/>
      <c r="N20" s="56"/>
      <c r="O20" s="132" t="s">
        <v>49</v>
      </c>
      <c r="P20" s="86"/>
      <c r="Q20" s="50" t="str">
        <f>+O22</f>
        <v>Kirsebær</v>
      </c>
      <c r="R20" s="49" t="s">
        <v>46</v>
      </c>
      <c r="S20" s="3" t="s">
        <v>34</v>
      </c>
      <c r="T20" s="5">
        <v>0.85099999999999998</v>
      </c>
      <c r="U20" s="6">
        <v>0.109</v>
      </c>
      <c r="V20" s="73">
        <f t="shared" si="21"/>
        <v>212.75</v>
      </c>
      <c r="W20" s="74">
        <f t="shared" si="22"/>
        <v>27.25</v>
      </c>
      <c r="X20" s="73">
        <f t="shared" si="2"/>
        <v>0</v>
      </c>
      <c r="Y20" s="75">
        <f t="shared" si="3"/>
        <v>0</v>
      </c>
      <c r="Z20" s="64">
        <f t="shared" si="19"/>
        <v>0</v>
      </c>
      <c r="AA20" s="65">
        <f t="shared" si="20"/>
        <v>0</v>
      </c>
      <c r="AB20" s="64">
        <f t="shared" si="4"/>
        <v>0</v>
      </c>
      <c r="AC20" s="66">
        <f t="shared" si="5"/>
        <v>0</v>
      </c>
      <c r="AD20" s="73">
        <f t="shared" si="6"/>
        <v>0</v>
      </c>
      <c r="AE20" s="75">
        <f t="shared" si="7"/>
        <v>0</v>
      </c>
      <c r="AF20" s="73">
        <f t="shared" si="8"/>
        <v>0</v>
      </c>
      <c r="AG20" s="74">
        <f t="shared" si="9"/>
        <v>0</v>
      </c>
      <c r="AH20" s="64">
        <f t="shared" si="10"/>
        <v>0</v>
      </c>
      <c r="AI20" s="65">
        <f t="shared" si="11"/>
        <v>0</v>
      </c>
      <c r="AJ20" s="64">
        <f t="shared" si="12"/>
        <v>0</v>
      </c>
      <c r="AK20" s="65">
        <f t="shared" si="13"/>
        <v>0</v>
      </c>
      <c r="AL20" s="64">
        <f t="shared" si="14"/>
        <v>0</v>
      </c>
      <c r="AM20" s="65">
        <f t="shared" si="15"/>
        <v>0</v>
      </c>
      <c r="AN20" s="64">
        <f t="shared" si="16"/>
        <v>0</v>
      </c>
      <c r="AO20" s="65">
        <f t="shared" si="17"/>
        <v>0</v>
      </c>
      <c r="AP20" s="46"/>
      <c r="AQ20" s="28">
        <v>0.82</v>
      </c>
      <c r="AR20" s="428"/>
      <c r="AS20" s="256"/>
      <c r="AT20" s="244"/>
      <c r="AU20" s="257"/>
      <c r="AV20" s="163"/>
      <c r="AW20" s="163"/>
      <c r="AX20" s="163"/>
      <c r="AY20" s="163"/>
      <c r="AZ20" s="46"/>
      <c r="BA20" s="242" t="str">
        <f>IF(BD3="To Alkoholer","","Følgende sødemidler er brugt samt antal gram og volumen:")</f>
        <v>Følgende sødemidler er brugt samt antal gram og volumen:</v>
      </c>
      <c r="BB20" s="142"/>
      <c r="BC20" s="142"/>
      <c r="BD20" s="142"/>
      <c r="BE20" s="142"/>
      <c r="BF20" s="142"/>
      <c r="BG20" s="142"/>
      <c r="BH20" s="142"/>
      <c r="BI20" s="347" t="str">
        <f>+$A$3</f>
        <v>Vodka 37,5 %</v>
      </c>
      <c r="BJ20" s="345"/>
      <c r="BK20" s="175">
        <f>+$C$3</f>
        <v>700</v>
      </c>
      <c r="BL20" s="46"/>
      <c r="BM20" s="163"/>
      <c r="BN20" s="163"/>
      <c r="BO20" s="163" t="s">
        <v>190</v>
      </c>
      <c r="BP20" s="163"/>
      <c r="BQ20" s="163"/>
      <c r="BR20" s="163"/>
      <c r="BS20" s="163"/>
      <c r="BT20" s="163"/>
      <c r="BU20" s="163"/>
      <c r="BV20" s="163"/>
    </row>
    <row r="21" spans="1:85" ht="20.100000000000001" customHeight="1">
      <c r="A21" s="361" t="s">
        <v>120</v>
      </c>
      <c r="B21" s="362"/>
      <c r="C21" s="362"/>
      <c r="D21" s="362"/>
      <c r="E21" s="362"/>
      <c r="F21" s="295"/>
      <c r="G21" s="46"/>
      <c r="H21" s="79"/>
      <c r="I21" s="46"/>
      <c r="J21" s="79"/>
      <c r="K21" s="46"/>
      <c r="L21" s="97"/>
      <c r="M21" s="46"/>
      <c r="N21" s="56"/>
      <c r="O21" s="137" t="s">
        <v>43</v>
      </c>
      <c r="P21" s="17"/>
      <c r="Q21" s="59" t="str">
        <f>+$V$2</f>
        <v>Gram Vand</v>
      </c>
      <c r="R21" s="60">
        <f>VLOOKUP($Q$20,$S$3:$AG$33,10)</f>
        <v>0</v>
      </c>
      <c r="S21" s="3" t="s">
        <v>22</v>
      </c>
      <c r="T21" s="13">
        <v>0.90500000000000003</v>
      </c>
      <c r="U21" s="11">
        <v>1.6400000000000001E-2</v>
      </c>
      <c r="V21" s="73">
        <f t="shared" si="21"/>
        <v>226.25</v>
      </c>
      <c r="W21" s="74">
        <f t="shared" si="22"/>
        <v>4.1000000000000005</v>
      </c>
      <c r="X21" s="73">
        <f t="shared" si="2"/>
        <v>0</v>
      </c>
      <c r="Y21" s="75">
        <f t="shared" si="3"/>
        <v>0</v>
      </c>
      <c r="Z21" s="64">
        <f t="shared" si="19"/>
        <v>0</v>
      </c>
      <c r="AA21" s="65">
        <f t="shared" si="20"/>
        <v>0</v>
      </c>
      <c r="AB21" s="64">
        <f t="shared" si="4"/>
        <v>0</v>
      </c>
      <c r="AC21" s="66">
        <f t="shared" si="5"/>
        <v>0</v>
      </c>
      <c r="AD21" s="73">
        <f t="shared" si="6"/>
        <v>0</v>
      </c>
      <c r="AE21" s="75">
        <f t="shared" si="7"/>
        <v>0</v>
      </c>
      <c r="AF21" s="73">
        <f t="shared" si="8"/>
        <v>0</v>
      </c>
      <c r="AG21" s="74">
        <f t="shared" si="9"/>
        <v>0</v>
      </c>
      <c r="AH21" s="64">
        <f t="shared" si="10"/>
        <v>0</v>
      </c>
      <c r="AI21" s="65">
        <f t="shared" si="11"/>
        <v>0</v>
      </c>
      <c r="AJ21" s="64">
        <f t="shared" si="12"/>
        <v>0</v>
      </c>
      <c r="AK21" s="65">
        <f t="shared" si="13"/>
        <v>0</v>
      </c>
      <c r="AL21" s="64">
        <f t="shared" si="14"/>
        <v>0</v>
      </c>
      <c r="AM21" s="65">
        <f t="shared" si="15"/>
        <v>0</v>
      </c>
      <c r="AN21" s="64">
        <f t="shared" si="16"/>
        <v>0</v>
      </c>
      <c r="AO21" s="65">
        <f t="shared" si="17"/>
        <v>0</v>
      </c>
      <c r="AP21" s="46"/>
      <c r="AQ21" s="28">
        <v>0.81</v>
      </c>
      <c r="AR21" s="428"/>
      <c r="AS21" s="309" t="s">
        <v>239</v>
      </c>
      <c r="AT21" s="289"/>
      <c r="AU21" s="310"/>
      <c r="AV21" s="163"/>
      <c r="AW21" s="163"/>
      <c r="AX21" s="163"/>
      <c r="AY21" s="163"/>
      <c r="AZ21" s="46"/>
      <c r="BA21" s="194" t="str">
        <f>IF(B8 &lt;=0,"",A8)</f>
        <v/>
      </c>
      <c r="BB21" s="142"/>
      <c r="BC21" s="142"/>
      <c r="BD21" s="175" t="str">
        <f>IF(B8 &lt;=0,"",B8)</f>
        <v/>
      </c>
      <c r="BE21" s="190" t="str">
        <f>IF(B8 &lt;=0,"","gram")</f>
        <v/>
      </c>
      <c r="BF21" s="175" t="str">
        <f>IF(C8 &lt;=0,"",C8)</f>
        <v/>
      </c>
      <c r="BG21" s="175" t="str">
        <f>IF(B8 &lt;=0,"","ml")</f>
        <v/>
      </c>
      <c r="BH21" s="142"/>
      <c r="BJ21" s="209"/>
      <c r="BK21" s="209"/>
      <c r="BL21" s="46"/>
      <c r="BM21" s="163"/>
      <c r="BN21" s="163"/>
      <c r="BO21" s="163"/>
      <c r="BP21" s="163"/>
      <c r="BQ21" s="163"/>
      <c r="BR21" s="163"/>
      <c r="BS21" s="163"/>
      <c r="BT21" s="163"/>
      <c r="BU21" s="163"/>
      <c r="BV21" s="163"/>
    </row>
    <row r="22" spans="1:85" ht="20.100000000000001" customHeight="1" thickBot="1">
      <c r="A22" s="275"/>
      <c r="B22" s="158"/>
      <c r="C22" s="158"/>
      <c r="D22" s="158"/>
      <c r="E22" s="158"/>
      <c r="F22" s="297"/>
      <c r="G22" s="148" t="s">
        <v>9</v>
      </c>
      <c r="H22" s="110"/>
      <c r="I22" s="149"/>
      <c r="J22" s="150"/>
      <c r="K22" s="151">
        <f>(G24*K20)/((H24*K20)+I24)</f>
        <v>0.29313288753848826</v>
      </c>
      <c r="L22" s="22"/>
      <c r="M22" s="311"/>
      <c r="N22" s="56"/>
      <c r="O22" s="134" t="s">
        <v>21</v>
      </c>
      <c r="P22" s="71"/>
      <c r="Q22" s="16" t="str">
        <f>+$W$2</f>
        <v>Gram Sukker</v>
      </c>
      <c r="R22" s="72">
        <f>VLOOKUP($Q$20,$S$3:$AG$33,11)</f>
        <v>0</v>
      </c>
      <c r="S22" s="3" t="s">
        <v>23</v>
      </c>
      <c r="T22" s="9">
        <v>0.83799999999999997</v>
      </c>
      <c r="U22" s="10">
        <v>9.1999999999999998E-2</v>
      </c>
      <c r="V22" s="73">
        <f t="shared" si="21"/>
        <v>209.5</v>
      </c>
      <c r="W22" s="74">
        <f t="shared" si="22"/>
        <v>23</v>
      </c>
      <c r="X22" s="73">
        <f t="shared" si="2"/>
        <v>0</v>
      </c>
      <c r="Y22" s="75">
        <f t="shared" si="3"/>
        <v>0</v>
      </c>
      <c r="Z22" s="64">
        <f t="shared" si="19"/>
        <v>0</v>
      </c>
      <c r="AA22" s="65">
        <f t="shared" si="20"/>
        <v>0</v>
      </c>
      <c r="AB22" s="64">
        <f t="shared" si="4"/>
        <v>0</v>
      </c>
      <c r="AC22" s="66">
        <f t="shared" si="5"/>
        <v>0</v>
      </c>
      <c r="AD22" s="73">
        <f t="shared" si="6"/>
        <v>0</v>
      </c>
      <c r="AE22" s="75">
        <f t="shared" si="7"/>
        <v>0</v>
      </c>
      <c r="AF22" s="73">
        <f t="shared" si="8"/>
        <v>0</v>
      </c>
      <c r="AG22" s="74">
        <f t="shared" si="9"/>
        <v>0</v>
      </c>
      <c r="AH22" s="64">
        <f t="shared" si="10"/>
        <v>0</v>
      </c>
      <c r="AI22" s="65">
        <f t="shared" si="11"/>
        <v>0</v>
      </c>
      <c r="AJ22" s="64">
        <f t="shared" si="12"/>
        <v>0</v>
      </c>
      <c r="AK22" s="65">
        <f t="shared" si="13"/>
        <v>0</v>
      </c>
      <c r="AL22" s="64">
        <f t="shared" si="14"/>
        <v>0</v>
      </c>
      <c r="AM22" s="65">
        <f t="shared" si="15"/>
        <v>0</v>
      </c>
      <c r="AN22" s="64">
        <f t="shared" si="16"/>
        <v>0</v>
      </c>
      <c r="AO22" s="65">
        <f t="shared" si="17"/>
        <v>0</v>
      </c>
      <c r="AP22" s="46"/>
      <c r="AQ22" s="27">
        <v>0.8</v>
      </c>
      <c r="AR22" s="428"/>
      <c r="AS22" s="307">
        <f>+F3</f>
        <v>20</v>
      </c>
      <c r="AT22" s="305" t="s">
        <v>237</v>
      </c>
      <c r="AU22" s="298" t="s">
        <v>238</v>
      </c>
      <c r="AV22" s="163"/>
      <c r="AW22" s="163"/>
      <c r="AX22" s="163"/>
      <c r="AY22" s="163"/>
      <c r="AZ22" s="46"/>
      <c r="BA22" s="194" t="str">
        <f t="shared" ref="BA22:BA24" si="24">IF(B9 &lt;=0,"",A9)</f>
        <v/>
      </c>
      <c r="BB22" s="142"/>
      <c r="BC22" s="142"/>
      <c r="BD22" s="190" t="str">
        <f t="shared" ref="BD22:BD24" si="25">IF(B9 &lt;=0,"",B9)</f>
        <v/>
      </c>
      <c r="BE22" s="190" t="str">
        <f t="shared" ref="BE22:BE24" si="26">IF(B9 &lt;=0,"","gram")</f>
        <v/>
      </c>
      <c r="BF22" s="235" t="str">
        <f>IF(C9 &lt;=0,"",C9)</f>
        <v/>
      </c>
      <c r="BG22" s="175" t="str">
        <f t="shared" ref="BG22:BG24" si="27">IF(B9 &lt;=0,"","ml")</f>
        <v/>
      </c>
      <c r="BH22" s="142"/>
      <c r="BI22" s="345" t="s">
        <v>53</v>
      </c>
      <c r="BJ22" s="345"/>
      <c r="BK22" s="190" t="s">
        <v>0</v>
      </c>
      <c r="BL22" s="46"/>
      <c r="BM22" s="163"/>
      <c r="BN22" s="163"/>
      <c r="BO22" s="163"/>
      <c r="BP22" s="163"/>
      <c r="BQ22" s="163"/>
      <c r="BR22" s="163"/>
      <c r="BS22" s="163"/>
      <c r="BT22" s="163"/>
      <c r="BU22" s="163"/>
      <c r="BV22" s="163"/>
    </row>
    <row r="23" spans="1:85" ht="20.100000000000001" customHeight="1">
      <c r="A23" s="269">
        <f>IF(E31 ="Ja!",B23,"")</f>
        <v>0.84</v>
      </c>
      <c r="B23" s="24">
        <v>0.84</v>
      </c>
      <c r="C23" s="169"/>
      <c r="D23" s="159" t="s">
        <v>186</v>
      </c>
      <c r="E23" s="46"/>
      <c r="F23" s="295"/>
      <c r="G23" s="416" t="s">
        <v>68</v>
      </c>
      <c r="H23" s="368"/>
      <c r="I23" s="368"/>
      <c r="J23" s="417" t="s">
        <v>222</v>
      </c>
      <c r="K23" s="418"/>
      <c r="L23" s="19"/>
      <c r="M23" s="46"/>
      <c r="N23" s="56"/>
      <c r="O23" s="135" t="s">
        <v>95</v>
      </c>
      <c r="P23" s="46"/>
      <c r="Q23" s="17"/>
      <c r="R23" s="17"/>
      <c r="S23" s="4" t="s">
        <v>24</v>
      </c>
      <c r="T23" s="7">
        <v>0.151</v>
      </c>
      <c r="U23" s="8">
        <v>0.68799999999999994</v>
      </c>
      <c r="V23" s="73">
        <f t="shared" si="21"/>
        <v>37.75</v>
      </c>
      <c r="W23" s="74">
        <f t="shared" si="22"/>
        <v>172</v>
      </c>
      <c r="X23" s="73">
        <f t="shared" si="2"/>
        <v>0</v>
      </c>
      <c r="Y23" s="75">
        <f t="shared" si="3"/>
        <v>0</v>
      </c>
      <c r="Z23" s="64">
        <f t="shared" si="19"/>
        <v>0</v>
      </c>
      <c r="AA23" s="65">
        <f t="shared" si="20"/>
        <v>0</v>
      </c>
      <c r="AB23" s="64">
        <f t="shared" si="4"/>
        <v>0</v>
      </c>
      <c r="AC23" s="66">
        <f t="shared" si="5"/>
        <v>0</v>
      </c>
      <c r="AD23" s="73">
        <f t="shared" si="6"/>
        <v>0</v>
      </c>
      <c r="AE23" s="75">
        <f t="shared" si="7"/>
        <v>0</v>
      </c>
      <c r="AF23" s="73">
        <f t="shared" si="8"/>
        <v>0</v>
      </c>
      <c r="AG23" s="74">
        <f t="shared" si="9"/>
        <v>0</v>
      </c>
      <c r="AH23" s="64">
        <f t="shared" si="10"/>
        <v>0</v>
      </c>
      <c r="AI23" s="65">
        <f t="shared" si="11"/>
        <v>0</v>
      </c>
      <c r="AJ23" s="64">
        <f t="shared" si="12"/>
        <v>0</v>
      </c>
      <c r="AK23" s="65">
        <f t="shared" si="13"/>
        <v>0</v>
      </c>
      <c r="AL23" s="64">
        <f t="shared" si="14"/>
        <v>0</v>
      </c>
      <c r="AM23" s="65">
        <f t="shared" si="15"/>
        <v>0</v>
      </c>
      <c r="AN23" s="64">
        <f t="shared" si="16"/>
        <v>0</v>
      </c>
      <c r="AO23" s="65">
        <f t="shared" si="17"/>
        <v>0</v>
      </c>
      <c r="AP23" s="46"/>
      <c r="AQ23" s="28">
        <v>0.79</v>
      </c>
      <c r="AR23" s="428"/>
      <c r="AS23" s="308">
        <f>VLOOKUP($AS$22,$AT$23:$AU$43,2)</f>
        <v>0.99820500000000001</v>
      </c>
      <c r="AT23" s="306">
        <v>0</v>
      </c>
      <c r="AU23" s="299">
        <v>0.99926199999999998</v>
      </c>
      <c r="AV23" s="163"/>
      <c r="AW23" s="163"/>
      <c r="AX23" s="163"/>
      <c r="AY23" s="163"/>
      <c r="AZ23" s="46"/>
      <c r="BA23" s="194" t="str">
        <f t="shared" si="24"/>
        <v/>
      </c>
      <c r="BB23" s="142"/>
      <c r="BC23" s="142"/>
      <c r="BD23" s="190" t="str">
        <f t="shared" si="25"/>
        <v/>
      </c>
      <c r="BE23" s="190" t="str">
        <f t="shared" si="26"/>
        <v/>
      </c>
      <c r="BF23" s="235" t="str">
        <f>IF(C10 &lt;=0,"",C10)</f>
        <v/>
      </c>
      <c r="BG23" s="175" t="str">
        <f t="shared" si="27"/>
        <v/>
      </c>
      <c r="BH23" s="142"/>
      <c r="BI23" s="347" t="str">
        <f>+$A$4</f>
        <v>Vand 0%</v>
      </c>
      <c r="BJ23" s="345"/>
      <c r="BK23" s="175">
        <f>+$C$4</f>
        <v>0</v>
      </c>
      <c r="BL23" s="46"/>
      <c r="BM23" s="163"/>
      <c r="BN23" s="163"/>
      <c r="BO23" s="163"/>
      <c r="BP23" s="163"/>
      <c r="BQ23" s="163"/>
      <c r="BR23" s="163"/>
      <c r="BS23" s="163"/>
      <c r="BT23" s="163"/>
      <c r="BU23" s="163"/>
      <c r="BV23" s="163"/>
    </row>
    <row r="24" spans="1:85" ht="20.100000000000001" customHeight="1" thickBot="1">
      <c r="A24" s="232" t="s">
        <v>128</v>
      </c>
      <c r="B24" s="155"/>
      <c r="C24" s="155"/>
      <c r="D24" s="155"/>
      <c r="E24" s="155"/>
      <c r="F24" s="295"/>
      <c r="G24" s="164">
        <v>99823</v>
      </c>
      <c r="H24" s="131">
        <v>20923</v>
      </c>
      <c r="I24" s="131">
        <v>78945</v>
      </c>
      <c r="J24" s="417"/>
      <c r="K24" s="418"/>
      <c r="L24" s="46"/>
      <c r="M24" s="46"/>
      <c r="N24" s="56"/>
      <c r="O24" s="136">
        <v>0</v>
      </c>
      <c r="P24" s="17"/>
      <c r="Q24" s="17"/>
      <c r="R24" s="17"/>
      <c r="S24" s="4" t="s">
        <v>25</v>
      </c>
      <c r="T24" s="7">
        <v>0.8</v>
      </c>
      <c r="U24" s="8">
        <v>7.4999999999999997E-2</v>
      </c>
      <c r="V24" s="73">
        <f t="shared" si="21"/>
        <v>200</v>
      </c>
      <c r="W24" s="74">
        <f t="shared" si="22"/>
        <v>18.75</v>
      </c>
      <c r="X24" s="73">
        <f t="shared" si="2"/>
        <v>0</v>
      </c>
      <c r="Y24" s="75">
        <f t="shared" si="3"/>
        <v>0</v>
      </c>
      <c r="Z24" s="64">
        <f t="shared" si="19"/>
        <v>0</v>
      </c>
      <c r="AA24" s="65">
        <f t="shared" si="20"/>
        <v>0</v>
      </c>
      <c r="AB24" s="64">
        <f t="shared" si="4"/>
        <v>0</v>
      </c>
      <c r="AC24" s="66">
        <f t="shared" si="5"/>
        <v>0</v>
      </c>
      <c r="AD24" s="73">
        <f t="shared" si="6"/>
        <v>0</v>
      </c>
      <c r="AE24" s="75">
        <f t="shared" si="7"/>
        <v>0</v>
      </c>
      <c r="AF24" s="73">
        <f t="shared" si="8"/>
        <v>0</v>
      </c>
      <c r="AG24" s="74">
        <f t="shared" si="9"/>
        <v>0</v>
      </c>
      <c r="AH24" s="64">
        <f t="shared" si="10"/>
        <v>0</v>
      </c>
      <c r="AI24" s="65">
        <f t="shared" si="11"/>
        <v>0</v>
      </c>
      <c r="AJ24" s="64">
        <f t="shared" si="12"/>
        <v>0</v>
      </c>
      <c r="AK24" s="65">
        <f t="shared" si="13"/>
        <v>0</v>
      </c>
      <c r="AL24" s="64">
        <f t="shared" si="14"/>
        <v>0</v>
      </c>
      <c r="AM24" s="65">
        <f t="shared" si="15"/>
        <v>0</v>
      </c>
      <c r="AN24" s="64">
        <f t="shared" si="16"/>
        <v>0</v>
      </c>
      <c r="AO24" s="65">
        <f t="shared" si="17"/>
        <v>0</v>
      </c>
      <c r="AP24" s="46"/>
      <c r="AQ24" s="28">
        <v>0.78</v>
      </c>
      <c r="AR24" s="429"/>
      <c r="AS24" s="76"/>
      <c r="AT24" s="293">
        <v>4</v>
      </c>
      <c r="AU24" s="300">
        <v>1</v>
      </c>
      <c r="AV24" s="163"/>
      <c r="AW24" s="163"/>
      <c r="AX24" s="163"/>
      <c r="AY24" s="163"/>
      <c r="AZ24" s="46"/>
      <c r="BA24" s="194" t="str">
        <f t="shared" si="24"/>
        <v/>
      </c>
      <c r="BB24" s="142"/>
      <c r="BC24" s="142"/>
      <c r="BD24" s="190" t="str">
        <f t="shared" si="25"/>
        <v/>
      </c>
      <c r="BE24" s="190" t="str">
        <f t="shared" si="26"/>
        <v/>
      </c>
      <c r="BF24" s="235" t="str">
        <f>IF(C11 &lt;=0,"",C11)</f>
        <v/>
      </c>
      <c r="BG24" s="175" t="str">
        <f t="shared" si="27"/>
        <v/>
      </c>
      <c r="BH24" s="142"/>
      <c r="BI24" s="142"/>
      <c r="BJ24" s="142"/>
      <c r="BK24" s="142"/>
      <c r="BL24" s="46"/>
      <c r="BM24" s="163"/>
      <c r="BN24" s="163"/>
      <c r="BO24" s="212"/>
      <c r="BP24" s="163"/>
      <c r="BQ24" s="163"/>
      <c r="BR24" s="163"/>
      <c r="BS24" s="163"/>
      <c r="BT24" s="163"/>
      <c r="BU24" s="163"/>
      <c r="BV24" s="163"/>
    </row>
    <row r="25" spans="1:85" ht="20.100000000000001" customHeight="1" thickBot="1">
      <c r="A25" s="37" t="s">
        <v>119</v>
      </c>
      <c r="B25" s="46"/>
      <c r="C25" s="46"/>
      <c r="D25" s="46"/>
      <c r="E25" s="46"/>
      <c r="F25" s="46"/>
      <c r="G25" s="164">
        <v>0.1893</v>
      </c>
      <c r="H25" s="131">
        <v>0.79179999999999995</v>
      </c>
      <c r="I25" s="131">
        <v>2.0000000000000001E-4</v>
      </c>
      <c r="J25" s="417"/>
      <c r="K25" s="418"/>
      <c r="L25" s="46"/>
      <c r="M25" s="46"/>
      <c r="N25" s="56"/>
      <c r="O25" s="46"/>
      <c r="P25" s="46"/>
      <c r="Q25" s="46"/>
      <c r="R25" s="46"/>
      <c r="S25" s="3" t="s">
        <v>26</v>
      </c>
      <c r="T25" s="9">
        <v>0.85</v>
      </c>
      <c r="U25" s="10">
        <v>7.4999999999999997E-2</v>
      </c>
      <c r="V25" s="73">
        <f t="shared" si="21"/>
        <v>212.5</v>
      </c>
      <c r="W25" s="74">
        <f t="shared" si="22"/>
        <v>18.75</v>
      </c>
      <c r="X25" s="73">
        <f t="shared" si="2"/>
        <v>0</v>
      </c>
      <c r="Y25" s="75">
        <f t="shared" si="3"/>
        <v>0</v>
      </c>
      <c r="Z25" s="64">
        <f t="shared" si="19"/>
        <v>0</v>
      </c>
      <c r="AA25" s="65">
        <f t="shared" si="20"/>
        <v>0</v>
      </c>
      <c r="AB25" s="64">
        <f t="shared" si="4"/>
        <v>0</v>
      </c>
      <c r="AC25" s="66">
        <f t="shared" si="5"/>
        <v>0</v>
      </c>
      <c r="AD25" s="73">
        <f t="shared" si="6"/>
        <v>0</v>
      </c>
      <c r="AE25" s="75">
        <f t="shared" si="7"/>
        <v>0</v>
      </c>
      <c r="AF25" s="73">
        <f t="shared" si="8"/>
        <v>0</v>
      </c>
      <c r="AG25" s="74">
        <f t="shared" si="9"/>
        <v>0</v>
      </c>
      <c r="AH25" s="64">
        <f t="shared" si="10"/>
        <v>0</v>
      </c>
      <c r="AI25" s="65">
        <f t="shared" si="11"/>
        <v>0</v>
      </c>
      <c r="AJ25" s="64">
        <f t="shared" si="12"/>
        <v>0</v>
      </c>
      <c r="AK25" s="65">
        <f t="shared" si="13"/>
        <v>0</v>
      </c>
      <c r="AL25" s="64">
        <f t="shared" si="14"/>
        <v>0</v>
      </c>
      <c r="AM25" s="65">
        <f t="shared" si="15"/>
        <v>0</v>
      </c>
      <c r="AN25" s="64">
        <f t="shared" si="16"/>
        <v>0</v>
      </c>
      <c r="AO25" s="65">
        <f t="shared" si="17"/>
        <v>0</v>
      </c>
      <c r="AP25" s="46"/>
      <c r="AQ25" s="28">
        <v>0.77</v>
      </c>
      <c r="AR25" s="429"/>
      <c r="AS25" s="76"/>
      <c r="AT25" s="292">
        <v>10</v>
      </c>
      <c r="AU25" s="299">
        <v>0.99947150000000007</v>
      </c>
      <c r="AV25" s="163"/>
      <c r="AW25" s="163"/>
      <c r="AX25" s="163"/>
      <c r="AY25" s="163"/>
      <c r="AZ25" s="46"/>
      <c r="BA25" s="263" t="s">
        <v>123</v>
      </c>
      <c r="BB25" s="263"/>
      <c r="BC25" s="263"/>
      <c r="BD25" s="262" t="str">
        <f>+J35</f>
        <v>g / l</v>
      </c>
      <c r="BE25" s="195">
        <f>+I35</f>
        <v>1.6E-2</v>
      </c>
      <c r="BF25" s="348" t="str">
        <f>IF(F11&gt;0,"Tilsat sødemidler",IF(AND($O$62=0,$BE$25&gt;=0%),"Ingen sødemidler i alkoholen","Kun naturlig sukker fra bærrene"))</f>
        <v>Kun naturlig sukker fra bærrene</v>
      </c>
      <c r="BG25" s="348"/>
      <c r="BH25" s="348"/>
      <c r="BI25" s="348"/>
      <c r="BJ25" s="348"/>
      <c r="BK25" s="348"/>
      <c r="BL25" s="46"/>
      <c r="BM25" s="163"/>
      <c r="BN25" s="163"/>
      <c r="BO25" s="163"/>
      <c r="BP25" s="163"/>
      <c r="BQ25" s="163"/>
      <c r="BR25" s="163"/>
      <c r="BS25" s="163"/>
      <c r="BT25" s="163"/>
      <c r="BU25" s="163"/>
      <c r="BV25" s="163"/>
    </row>
    <row r="26" spans="1:85" ht="20.100000000000001" customHeight="1" thickBot="1">
      <c r="A26" s="37" t="s">
        <v>133</v>
      </c>
      <c r="B26" s="46"/>
      <c r="C26" s="46"/>
      <c r="D26" s="46"/>
      <c r="E26" s="46"/>
      <c r="F26" s="46"/>
      <c r="G26" s="152" t="s">
        <v>8</v>
      </c>
      <c r="H26" s="100"/>
      <c r="I26" s="153"/>
      <c r="J26" s="100"/>
      <c r="K26" s="154">
        <f>(G25*K19*K19)+(H25*K19)+J26</f>
        <v>0.25276699719999995</v>
      </c>
      <c r="L26" s="96"/>
      <c r="M26" s="46"/>
      <c r="N26" s="56"/>
      <c r="O26" s="132" t="s">
        <v>50</v>
      </c>
      <c r="P26" s="86"/>
      <c r="Q26" s="50" t="str">
        <f>+O28</f>
        <v>Ribs</v>
      </c>
      <c r="R26" s="49" t="s">
        <v>46</v>
      </c>
      <c r="S26" s="3" t="s">
        <v>27</v>
      </c>
      <c r="T26" s="5">
        <v>0.79</v>
      </c>
      <c r="U26" s="6">
        <v>0.11700000000000001</v>
      </c>
      <c r="V26" s="73">
        <f t="shared" si="21"/>
        <v>197.5</v>
      </c>
      <c r="W26" s="74">
        <f t="shared" si="22"/>
        <v>29.25</v>
      </c>
      <c r="X26" s="73">
        <f t="shared" si="2"/>
        <v>0</v>
      </c>
      <c r="Y26" s="75">
        <f t="shared" si="3"/>
        <v>0</v>
      </c>
      <c r="Z26" s="64">
        <f t="shared" si="19"/>
        <v>0</v>
      </c>
      <c r="AA26" s="65">
        <f t="shared" si="20"/>
        <v>0</v>
      </c>
      <c r="AB26" s="64">
        <f t="shared" si="4"/>
        <v>0</v>
      </c>
      <c r="AC26" s="66">
        <f t="shared" si="5"/>
        <v>0</v>
      </c>
      <c r="AD26" s="73">
        <f t="shared" si="6"/>
        <v>0</v>
      </c>
      <c r="AE26" s="75">
        <f t="shared" si="7"/>
        <v>0</v>
      </c>
      <c r="AF26" s="73">
        <f t="shared" si="8"/>
        <v>0</v>
      </c>
      <c r="AG26" s="74">
        <f t="shared" si="9"/>
        <v>0</v>
      </c>
      <c r="AH26" s="64">
        <f t="shared" si="10"/>
        <v>0</v>
      </c>
      <c r="AI26" s="65">
        <f t="shared" si="11"/>
        <v>0</v>
      </c>
      <c r="AJ26" s="64">
        <f t="shared" si="12"/>
        <v>0</v>
      </c>
      <c r="AK26" s="65">
        <f t="shared" si="13"/>
        <v>0</v>
      </c>
      <c r="AL26" s="64">
        <f t="shared" si="14"/>
        <v>0</v>
      </c>
      <c r="AM26" s="65">
        <f t="shared" si="15"/>
        <v>0</v>
      </c>
      <c r="AN26" s="64">
        <f t="shared" si="16"/>
        <v>0</v>
      </c>
      <c r="AO26" s="65">
        <f t="shared" si="17"/>
        <v>0</v>
      </c>
      <c r="AP26" s="46"/>
      <c r="AQ26" s="28">
        <v>0.76</v>
      </c>
      <c r="AR26" s="429"/>
      <c r="AS26" s="76"/>
      <c r="AT26" s="292">
        <v>15.5</v>
      </c>
      <c r="AU26" s="299">
        <v>0.99894300000000003</v>
      </c>
      <c r="AV26" s="163"/>
      <c r="AW26" s="163"/>
      <c r="AX26" s="163"/>
      <c r="AY26" s="163"/>
      <c r="AZ26" s="46"/>
      <c r="BA26" s="263"/>
      <c r="BB26" s="263"/>
      <c r="BC26" s="263"/>
      <c r="BD26" s="263"/>
      <c r="BF26" s="202"/>
      <c r="BH26" s="203"/>
      <c r="BI26" s="203"/>
      <c r="BJ26" s="203"/>
      <c r="BK26" s="142"/>
      <c r="BL26" s="163"/>
      <c r="BM26" s="163"/>
      <c r="BN26" s="163"/>
      <c r="BO26" s="163"/>
      <c r="BP26" s="163"/>
      <c r="BQ26" s="163"/>
      <c r="BR26" s="163"/>
      <c r="BS26" s="163"/>
      <c r="BT26" s="163"/>
      <c r="BU26" s="163"/>
      <c r="BV26" s="163"/>
    </row>
    <row r="27" spans="1:85" ht="20.100000000000001" customHeight="1">
      <c r="A27" s="157" t="str">
        <f>CONCATENATE("I Celle B19 fremkommer tallet   ",B19*100," %  ved Bærudnyttelsesknappen på  ",B23*100," %")</f>
        <v>I Celle B19 fremkommer tallet   84,014 %  ved Bærudnyttelsesknappen på  84 %</v>
      </c>
      <c r="B27" s="46"/>
      <c r="C27" s="180"/>
      <c r="D27" s="157"/>
      <c r="E27" s="46"/>
      <c r="F27" s="46"/>
      <c r="G27" s="193"/>
      <c r="H27" s="79"/>
      <c r="I27" s="46"/>
      <c r="J27" s="79"/>
      <c r="K27" s="46"/>
      <c r="L27" s="46"/>
      <c r="M27" s="46"/>
      <c r="N27" s="56"/>
      <c r="O27" s="137" t="s">
        <v>43</v>
      </c>
      <c r="P27" s="17"/>
      <c r="Q27" s="59" t="str">
        <f>+$V$2</f>
        <v>Gram Vand</v>
      </c>
      <c r="R27" s="60">
        <f>VLOOKUP($Q$26,$S$3:$AG$33,12)</f>
        <v>0</v>
      </c>
      <c r="S27" s="3" t="s">
        <v>28</v>
      </c>
      <c r="T27" s="5">
        <v>0.879</v>
      </c>
      <c r="U27" s="6">
        <v>6.9000000000000006E-2</v>
      </c>
      <c r="V27" s="73">
        <f t="shared" si="21"/>
        <v>219.75</v>
      </c>
      <c r="W27" s="74">
        <f t="shared" si="22"/>
        <v>17.25</v>
      </c>
      <c r="X27" s="73">
        <f t="shared" si="2"/>
        <v>0</v>
      </c>
      <c r="Y27" s="75">
        <f t="shared" si="3"/>
        <v>0</v>
      </c>
      <c r="Z27" s="64">
        <f t="shared" si="19"/>
        <v>0</v>
      </c>
      <c r="AA27" s="65">
        <f t="shared" si="20"/>
        <v>0</v>
      </c>
      <c r="AB27" s="64">
        <f t="shared" si="4"/>
        <v>0</v>
      </c>
      <c r="AC27" s="66">
        <f t="shared" si="5"/>
        <v>0</v>
      </c>
      <c r="AD27" s="73">
        <f t="shared" si="6"/>
        <v>0</v>
      </c>
      <c r="AE27" s="75">
        <f t="shared" si="7"/>
        <v>0</v>
      </c>
      <c r="AF27" s="73">
        <f t="shared" si="8"/>
        <v>0</v>
      </c>
      <c r="AG27" s="74">
        <f t="shared" si="9"/>
        <v>0</v>
      </c>
      <c r="AH27" s="64">
        <f t="shared" si="10"/>
        <v>0</v>
      </c>
      <c r="AI27" s="65">
        <f t="shared" si="11"/>
        <v>0</v>
      </c>
      <c r="AJ27" s="64">
        <f t="shared" si="12"/>
        <v>0</v>
      </c>
      <c r="AK27" s="65">
        <f t="shared" si="13"/>
        <v>0</v>
      </c>
      <c r="AL27" s="64">
        <f t="shared" si="14"/>
        <v>0</v>
      </c>
      <c r="AM27" s="65">
        <f t="shared" si="15"/>
        <v>0</v>
      </c>
      <c r="AN27" s="64">
        <f t="shared" si="16"/>
        <v>0</v>
      </c>
      <c r="AO27" s="65">
        <f t="shared" si="17"/>
        <v>0</v>
      </c>
      <c r="AP27" s="46"/>
      <c r="AQ27" s="27">
        <v>0.75</v>
      </c>
      <c r="AR27" s="429"/>
      <c r="AS27" s="76"/>
      <c r="AT27" s="294">
        <v>20</v>
      </c>
      <c r="AU27" s="301">
        <v>0.99820500000000001</v>
      </c>
      <c r="AV27" s="163"/>
      <c r="AW27" s="163"/>
      <c r="AX27" s="163"/>
      <c r="AY27" s="163"/>
      <c r="AZ27" s="46"/>
      <c r="BA27" s="264" t="s">
        <v>148</v>
      </c>
      <c r="BB27" s="412" t="str">
        <f>+BD3</f>
        <v>Kryddersnaps</v>
      </c>
      <c r="BC27" s="412"/>
      <c r="BD27" s="262" t="s">
        <v>149</v>
      </c>
      <c r="BE27" s="195">
        <f>+K19</f>
        <v>0.29799999999999999</v>
      </c>
      <c r="BF27" s="202"/>
      <c r="BG27" s="349" t="str">
        <f>IF(K19&lt;=27.9%,BM27,BM28)</f>
        <v>Din Kryddersnaps har en tilfredsstillende alkohol procent, så den har en god holdbarhed.</v>
      </c>
      <c r="BH27" s="350"/>
      <c r="BI27" s="350"/>
      <c r="BJ27" s="350"/>
      <c r="BK27" s="351"/>
      <c r="BL27" s="163"/>
      <c r="BM27" s="280" t="str">
        <f>CONCATENATE("Din ",BD3," har en utilfredsstillende alkohol procent, så den har en dårlig holdbarhed.")</f>
        <v>Din Kryddersnaps har en utilfredsstillende alkohol procent, så den har en dårlig holdbarhed.</v>
      </c>
      <c r="BN27" s="163"/>
      <c r="BO27" s="163"/>
      <c r="BP27" s="163"/>
      <c r="BQ27" s="163"/>
      <c r="BR27" s="163"/>
      <c r="BS27" s="163"/>
      <c r="BT27" s="163"/>
      <c r="BU27" s="163"/>
      <c r="BV27" s="163"/>
    </row>
    <row r="28" spans="1:85" ht="20.100000000000001" customHeight="1" thickBot="1">
      <c r="A28" s="157" t="str">
        <f>CONCATENATE("Find nærmeste hele tal til  ",B19*100," % i Datavaliderings Cellen B23 og tast på værdien.")</f>
        <v>Find nærmeste hele tal til  84,014 % i Datavaliderings Cellen B23 og tast på værdien.</v>
      </c>
      <c r="B28" s="46"/>
      <c r="C28" s="46"/>
      <c r="D28" s="46"/>
      <c r="E28" s="46"/>
      <c r="F28" s="46"/>
      <c r="G28" s="36" t="s">
        <v>213</v>
      </c>
      <c r="H28" s="29"/>
      <c r="I28" s="29"/>
      <c r="J28" s="29"/>
      <c r="K28" s="30"/>
      <c r="L28" s="30"/>
      <c r="M28" s="157">
        <f>+AW3</f>
        <v>30</v>
      </c>
      <c r="N28" s="56"/>
      <c r="O28" s="319" t="s">
        <v>23</v>
      </c>
      <c r="P28" s="71"/>
      <c r="Q28" s="16" t="str">
        <f>+$W$2</f>
        <v>Gram Sukker</v>
      </c>
      <c r="R28" s="72">
        <f>VLOOKUP($Q$26,$S$3:$AG$33,13)</f>
        <v>0</v>
      </c>
      <c r="S28" s="3" t="s">
        <v>29</v>
      </c>
      <c r="T28" s="9">
        <v>0.312</v>
      </c>
      <c r="U28" s="10">
        <v>0.55700000000000005</v>
      </c>
      <c r="V28" s="73">
        <f t="shared" si="21"/>
        <v>78</v>
      </c>
      <c r="W28" s="74">
        <f t="shared" si="22"/>
        <v>139.25</v>
      </c>
      <c r="X28" s="73">
        <f t="shared" si="2"/>
        <v>0</v>
      </c>
      <c r="Y28" s="75">
        <f t="shared" si="3"/>
        <v>0</v>
      </c>
      <c r="Z28" s="64">
        <f t="shared" si="19"/>
        <v>0</v>
      </c>
      <c r="AA28" s="65">
        <f t="shared" si="20"/>
        <v>0</v>
      </c>
      <c r="AB28" s="64">
        <f t="shared" si="4"/>
        <v>0</v>
      </c>
      <c r="AC28" s="66">
        <f t="shared" si="5"/>
        <v>0</v>
      </c>
      <c r="AD28" s="73">
        <f t="shared" si="6"/>
        <v>0</v>
      </c>
      <c r="AE28" s="75">
        <f t="shared" si="7"/>
        <v>0</v>
      </c>
      <c r="AF28" s="73">
        <f t="shared" si="8"/>
        <v>0</v>
      </c>
      <c r="AG28" s="74">
        <f t="shared" si="9"/>
        <v>0</v>
      </c>
      <c r="AH28" s="64">
        <f t="shared" si="10"/>
        <v>0</v>
      </c>
      <c r="AI28" s="65">
        <f t="shared" si="11"/>
        <v>0</v>
      </c>
      <c r="AJ28" s="64">
        <f t="shared" si="12"/>
        <v>0</v>
      </c>
      <c r="AK28" s="65">
        <f t="shared" si="13"/>
        <v>0</v>
      </c>
      <c r="AL28" s="64">
        <f t="shared" si="14"/>
        <v>0</v>
      </c>
      <c r="AM28" s="65">
        <f t="shared" si="15"/>
        <v>0</v>
      </c>
      <c r="AN28" s="64">
        <f t="shared" si="16"/>
        <v>0</v>
      </c>
      <c r="AO28" s="65">
        <f t="shared" si="17"/>
        <v>0</v>
      </c>
      <c r="AP28" s="46"/>
      <c r="AQ28" s="28">
        <v>0.74</v>
      </c>
      <c r="AR28" s="429"/>
      <c r="AS28" s="76"/>
      <c r="AT28" s="293">
        <v>25</v>
      </c>
      <c r="AU28" s="300">
        <v>0.99704700000000002</v>
      </c>
      <c r="AV28" s="163"/>
      <c r="AW28" s="163"/>
      <c r="AX28" s="163"/>
      <c r="AY28" s="163"/>
      <c r="AZ28" s="46"/>
      <c r="BA28" s="264"/>
      <c r="BB28" s="263"/>
      <c r="BC28" s="263"/>
      <c r="BD28" s="262"/>
      <c r="BE28" s="318"/>
      <c r="BF28" s="202"/>
      <c r="BG28" s="352"/>
      <c r="BH28" s="353"/>
      <c r="BI28" s="353"/>
      <c r="BJ28" s="353"/>
      <c r="BK28" s="354"/>
      <c r="BL28" s="163"/>
      <c r="BM28" s="280" t="str">
        <f>CONCATENATE("Din ",BD3," har en tilfredsstillende alkohol procent, så den har en god holdbarhed.")</f>
        <v>Din Kryddersnaps har en tilfredsstillende alkohol procent, så den har en god holdbarhed.</v>
      </c>
      <c r="BN28" s="163"/>
      <c r="BO28" s="163"/>
      <c r="BP28" s="163"/>
      <c r="BQ28" s="163"/>
      <c r="BR28" s="163"/>
      <c r="BS28" s="163"/>
      <c r="BT28" s="163"/>
      <c r="BU28" s="163"/>
      <c r="BV28" s="163"/>
    </row>
    <row r="29" spans="1:85" ht="20.100000000000001" customHeight="1">
      <c r="A29" s="163" t="s">
        <v>132</v>
      </c>
      <c r="B29" s="46"/>
      <c r="C29" s="46"/>
      <c r="D29" s="46"/>
      <c r="E29" s="46"/>
      <c r="F29" s="46"/>
      <c r="G29" s="37" t="str">
        <f>CONCATENATE("En ",M31," kan indeholde op til")</f>
        <v>En Kryddersnaps kan indeholde op til</v>
      </c>
      <c r="H29" s="29"/>
      <c r="I29" s="31"/>
      <c r="J29" s="57">
        <f>+AW3</f>
        <v>30</v>
      </c>
      <c r="K29" s="36" t="s">
        <v>91</v>
      </c>
      <c r="L29" s="36"/>
      <c r="M29" s="396" t="s">
        <v>212</v>
      </c>
      <c r="N29" s="397"/>
      <c r="O29" s="135" t="s">
        <v>95</v>
      </c>
      <c r="P29" s="46"/>
      <c r="Q29" s="17"/>
      <c r="R29" s="17"/>
      <c r="S29" s="3" t="s">
        <v>30</v>
      </c>
      <c r="T29" s="9">
        <v>0.871</v>
      </c>
      <c r="U29" s="10">
        <v>7.5999999999999998E-2</v>
      </c>
      <c r="V29" s="73">
        <f t="shared" si="21"/>
        <v>217.75</v>
      </c>
      <c r="W29" s="74">
        <f t="shared" si="22"/>
        <v>19</v>
      </c>
      <c r="X29" s="73">
        <f t="shared" si="2"/>
        <v>0</v>
      </c>
      <c r="Y29" s="75">
        <f t="shared" si="3"/>
        <v>0</v>
      </c>
      <c r="Z29" s="64">
        <f t="shared" si="19"/>
        <v>0</v>
      </c>
      <c r="AA29" s="65">
        <f t="shared" si="20"/>
        <v>0</v>
      </c>
      <c r="AB29" s="64">
        <f t="shared" si="4"/>
        <v>0</v>
      </c>
      <c r="AC29" s="66">
        <f t="shared" si="5"/>
        <v>0</v>
      </c>
      <c r="AD29" s="73">
        <f t="shared" si="6"/>
        <v>0</v>
      </c>
      <c r="AE29" s="75">
        <f t="shared" si="7"/>
        <v>0</v>
      </c>
      <c r="AF29" s="73">
        <f t="shared" si="8"/>
        <v>0</v>
      </c>
      <c r="AG29" s="74">
        <f t="shared" si="9"/>
        <v>0</v>
      </c>
      <c r="AH29" s="64">
        <f t="shared" si="10"/>
        <v>0</v>
      </c>
      <c r="AI29" s="65">
        <f t="shared" si="11"/>
        <v>0</v>
      </c>
      <c r="AJ29" s="64">
        <f t="shared" si="12"/>
        <v>0</v>
      </c>
      <c r="AK29" s="65">
        <f t="shared" si="13"/>
        <v>0</v>
      </c>
      <c r="AL29" s="64">
        <f t="shared" si="14"/>
        <v>0</v>
      </c>
      <c r="AM29" s="65">
        <f t="shared" si="15"/>
        <v>0</v>
      </c>
      <c r="AN29" s="64">
        <f t="shared" si="16"/>
        <v>0</v>
      </c>
      <c r="AO29" s="65">
        <f t="shared" si="17"/>
        <v>0</v>
      </c>
      <c r="AP29" s="46"/>
      <c r="AQ29" s="28">
        <v>0.73</v>
      </c>
      <c r="AR29" s="429"/>
      <c r="AS29" s="76"/>
      <c r="AT29" s="292">
        <v>30</v>
      </c>
      <c r="AU29" s="299">
        <v>0.99544169999999998</v>
      </c>
      <c r="AV29" s="163"/>
      <c r="AW29" s="163"/>
      <c r="AX29" s="163"/>
      <c r="AY29" s="163"/>
      <c r="AZ29" s="46"/>
      <c r="BA29" s="264" t="s">
        <v>148</v>
      </c>
      <c r="BB29" s="412" t="str">
        <f>+BD3</f>
        <v>Kryddersnaps</v>
      </c>
      <c r="BC29" s="412"/>
      <c r="BD29" s="262" t="s">
        <v>150</v>
      </c>
      <c r="BE29" s="195">
        <f>+K20</f>
        <v>0.247</v>
      </c>
      <c r="BF29" s="202"/>
      <c r="BG29" s="355"/>
      <c r="BH29" s="356"/>
      <c r="BI29" s="356"/>
      <c r="BJ29" s="356"/>
      <c r="BK29" s="357"/>
      <c r="BL29" s="46"/>
      <c r="BM29" s="163"/>
      <c r="BN29" s="163"/>
      <c r="BO29" s="163"/>
      <c r="BP29" s="163"/>
      <c r="BQ29" s="163"/>
      <c r="BR29" s="163"/>
      <c r="BS29" s="163"/>
      <c r="BT29" s="163"/>
      <c r="BU29" s="163"/>
      <c r="BV29" s="163"/>
    </row>
    <row r="30" spans="1:85" ht="20.100000000000001" customHeight="1" thickBot="1">
      <c r="A30" s="163" t="s">
        <v>131</v>
      </c>
      <c r="B30" s="123"/>
      <c r="C30" s="46"/>
      <c r="D30" s="46"/>
      <c r="E30" s="46"/>
      <c r="F30" s="46"/>
      <c r="G30" s="37" t="s">
        <v>92</v>
      </c>
      <c r="H30" s="32"/>
      <c r="I30" s="176" t="s">
        <v>82</v>
      </c>
      <c r="J30" s="177">
        <f>L17/(K17/1000)</f>
        <v>16.437869317630941</v>
      </c>
      <c r="K30" s="36" t="s">
        <v>91</v>
      </c>
      <c r="L30" s="29"/>
      <c r="M30" s="163"/>
      <c r="N30" s="56"/>
      <c r="O30" s="136">
        <v>0</v>
      </c>
      <c r="P30" s="17"/>
      <c r="Q30" s="17"/>
      <c r="R30" s="17"/>
      <c r="S30" s="3" t="s">
        <v>31</v>
      </c>
      <c r="T30" s="9">
        <v>0.86299999999999999</v>
      </c>
      <c r="U30" s="10">
        <v>7.8E-2</v>
      </c>
      <c r="V30" s="73">
        <f t="shared" si="21"/>
        <v>215.75</v>
      </c>
      <c r="W30" s="74">
        <f t="shared" si="22"/>
        <v>19.5</v>
      </c>
      <c r="X30" s="73">
        <f t="shared" si="2"/>
        <v>0</v>
      </c>
      <c r="Y30" s="75">
        <f t="shared" si="3"/>
        <v>0</v>
      </c>
      <c r="Z30" s="64">
        <f t="shared" si="19"/>
        <v>0</v>
      </c>
      <c r="AA30" s="65">
        <f t="shared" si="20"/>
        <v>0</v>
      </c>
      <c r="AB30" s="64">
        <f t="shared" si="4"/>
        <v>0</v>
      </c>
      <c r="AC30" s="66">
        <f t="shared" si="5"/>
        <v>0</v>
      </c>
      <c r="AD30" s="73">
        <f t="shared" si="6"/>
        <v>0</v>
      </c>
      <c r="AE30" s="75">
        <f t="shared" si="7"/>
        <v>0</v>
      </c>
      <c r="AF30" s="73">
        <f t="shared" si="8"/>
        <v>0</v>
      </c>
      <c r="AG30" s="74">
        <f t="shared" si="9"/>
        <v>0</v>
      </c>
      <c r="AH30" s="64">
        <f t="shared" si="10"/>
        <v>0</v>
      </c>
      <c r="AI30" s="65">
        <f t="shared" si="11"/>
        <v>0</v>
      </c>
      <c r="AJ30" s="64">
        <f t="shared" si="12"/>
        <v>0</v>
      </c>
      <c r="AK30" s="65">
        <f t="shared" si="13"/>
        <v>0</v>
      </c>
      <c r="AL30" s="64">
        <f t="shared" si="14"/>
        <v>0</v>
      </c>
      <c r="AM30" s="65">
        <f t="shared" si="15"/>
        <v>0</v>
      </c>
      <c r="AN30" s="64">
        <f t="shared" si="16"/>
        <v>0</v>
      </c>
      <c r="AO30" s="65">
        <f t="shared" si="17"/>
        <v>0</v>
      </c>
      <c r="AP30" s="46"/>
      <c r="AQ30" s="28">
        <v>0.72</v>
      </c>
      <c r="AR30" s="429"/>
      <c r="AS30" s="76"/>
      <c r="AT30" s="293">
        <v>35</v>
      </c>
      <c r="AU30" s="300">
        <v>0.99383639999999995</v>
      </c>
      <c r="AV30" s="163"/>
      <c r="AW30" s="163"/>
      <c r="AX30" s="163"/>
      <c r="AY30" s="163"/>
      <c r="AZ30" s="46"/>
      <c r="BA30" s="142"/>
      <c r="BB30" s="142"/>
      <c r="BC30" s="142"/>
      <c r="BD30" s="142"/>
      <c r="BE30" s="142"/>
      <c r="BF30" s="202"/>
      <c r="BG30" s="202"/>
      <c r="BH30" s="202"/>
      <c r="BI30" s="202"/>
      <c r="BJ30" s="202"/>
      <c r="BK30" s="142"/>
      <c r="BL30" s="46"/>
      <c r="BM30" s="163" t="str">
        <f>+M1</f>
        <v>Kryddersnaps</v>
      </c>
      <c r="BN30" s="163"/>
      <c r="BO30" s="163"/>
      <c r="BP30" s="163"/>
      <c r="BQ30" s="163"/>
      <c r="BR30" s="163"/>
      <c r="BS30" s="163"/>
      <c r="BT30" s="163"/>
      <c r="BU30" s="163"/>
      <c r="BV30" s="163"/>
    </row>
    <row r="31" spans="1:85" ht="20.100000000000001" customHeight="1" thickBot="1">
      <c r="A31" s="181" t="s">
        <v>134</v>
      </c>
      <c r="B31" s="236" t="str">
        <f>CONCATENATE(INT(B19*100), " OG ",INT(B23*100))</f>
        <v>84 OG 84</v>
      </c>
      <c r="C31" s="360" t="s">
        <v>135</v>
      </c>
      <c r="D31" s="360"/>
      <c r="E31" s="363" t="str">
        <f>IF(B20=C20,"JA!","Nej! Fortsæt interpolationen")</f>
        <v>JA!</v>
      </c>
      <c r="F31" s="363"/>
      <c r="G31" s="38" t="s">
        <v>93</v>
      </c>
      <c r="H31" s="33"/>
      <c r="I31" s="176" t="s">
        <v>81</v>
      </c>
      <c r="J31" s="178">
        <f>J29-J30</f>
        <v>13.562130682369059</v>
      </c>
      <c r="K31" s="36" t="s">
        <v>91</v>
      </c>
      <c r="L31" s="29"/>
      <c r="M31" s="276" t="str">
        <f>IF(M1="Kryddersnaps","Kryddersnaps",IF(M1="Likør","Likør",IF(M1="RomTopf","RomTopf",IF(M1="To Alkoholer","To Alkoholer"))))</f>
        <v>Kryddersnaps</v>
      </c>
      <c r="N31" s="56"/>
      <c r="O31" s="46"/>
      <c r="P31" s="46"/>
      <c r="Q31" s="46"/>
      <c r="R31" s="46"/>
      <c r="S31" s="3" t="s">
        <v>32</v>
      </c>
      <c r="T31" s="9">
        <v>2.8000000000000001E-2</v>
      </c>
      <c r="U31" s="10">
        <v>0.106</v>
      </c>
      <c r="V31" s="73">
        <f t="shared" si="21"/>
        <v>7</v>
      </c>
      <c r="W31" s="74">
        <f t="shared" si="22"/>
        <v>26.5</v>
      </c>
      <c r="X31" s="73">
        <f t="shared" si="2"/>
        <v>0</v>
      </c>
      <c r="Y31" s="75">
        <f t="shared" si="3"/>
        <v>0</v>
      </c>
      <c r="Z31" s="64">
        <f t="shared" si="19"/>
        <v>0</v>
      </c>
      <c r="AA31" s="65">
        <f t="shared" si="20"/>
        <v>0</v>
      </c>
      <c r="AB31" s="64">
        <f t="shared" si="4"/>
        <v>0</v>
      </c>
      <c r="AC31" s="66">
        <f t="shared" si="5"/>
        <v>0</v>
      </c>
      <c r="AD31" s="73">
        <f t="shared" si="6"/>
        <v>0</v>
      </c>
      <c r="AE31" s="75">
        <f t="shared" si="7"/>
        <v>0</v>
      </c>
      <c r="AF31" s="73">
        <f t="shared" si="8"/>
        <v>0</v>
      </c>
      <c r="AG31" s="74">
        <f t="shared" si="9"/>
        <v>0</v>
      </c>
      <c r="AH31" s="64">
        <f t="shared" si="10"/>
        <v>0</v>
      </c>
      <c r="AI31" s="65">
        <f t="shared" si="11"/>
        <v>0</v>
      </c>
      <c r="AJ31" s="64">
        <f t="shared" si="12"/>
        <v>0</v>
      </c>
      <c r="AK31" s="65">
        <f t="shared" si="13"/>
        <v>0</v>
      </c>
      <c r="AL31" s="64">
        <f t="shared" si="14"/>
        <v>0</v>
      </c>
      <c r="AM31" s="65">
        <f t="shared" si="15"/>
        <v>0</v>
      </c>
      <c r="AN31" s="64">
        <f t="shared" si="16"/>
        <v>0</v>
      </c>
      <c r="AO31" s="65">
        <f t="shared" si="17"/>
        <v>0</v>
      </c>
      <c r="AP31" s="46"/>
      <c r="AQ31" s="28">
        <v>0.71</v>
      </c>
      <c r="AR31" s="429"/>
      <c r="AS31" s="76"/>
      <c r="AT31" s="292">
        <v>40</v>
      </c>
      <c r="AU31" s="299">
        <v>0.99223099999999997</v>
      </c>
      <c r="AV31" s="163"/>
      <c r="AW31" s="163"/>
      <c r="AX31" s="163"/>
      <c r="AY31" s="163"/>
      <c r="AZ31" s="46"/>
      <c r="BA31" s="346" t="str">
        <f>VLOOKUP($BM$30,$BM$31:$BO$34,2)</f>
        <v>Da du laver en Kryddersnaps, skal du måle volumen efter den er siet:</v>
      </c>
      <c r="BB31" s="342"/>
      <c r="BC31" s="342"/>
      <c r="BD31" s="342"/>
      <c r="BE31" s="342"/>
      <c r="BF31" s="342"/>
      <c r="BG31" s="342"/>
      <c r="BH31" s="342"/>
      <c r="BI31" s="142"/>
      <c r="BJ31" s="175">
        <f>IF(BD3="RomTopf",B17,IF(BD3="To Alkoholer",B17,IF(BD3="Likør",B18,IF(BD3="Kryddersnaps",B18))))</f>
        <v>741</v>
      </c>
      <c r="BK31" s="175" t="str">
        <f>+C18</f>
        <v>ml</v>
      </c>
      <c r="BL31" s="46"/>
      <c r="BM31" s="163" t="s">
        <v>140</v>
      </c>
      <c r="BN31" s="163" t="s">
        <v>201</v>
      </c>
      <c r="BO31" s="163"/>
      <c r="BP31" s="163"/>
      <c r="BQ31" s="46"/>
      <c r="BR31" s="46"/>
      <c r="BS31" s="46"/>
      <c r="BT31" s="46"/>
      <c r="BU31" s="46"/>
      <c r="BV31" s="163"/>
      <c r="BZ31" s="239"/>
      <c r="CA31" s="233"/>
      <c r="CB31" s="233"/>
      <c r="CC31" s="233"/>
      <c r="CD31" s="233"/>
      <c r="CE31" s="233"/>
      <c r="CF31" s="233"/>
      <c r="CG31" s="233"/>
    </row>
    <row r="32" spans="1:85" ht="20.100000000000001" customHeight="1" thickBot="1">
      <c r="A32" s="364" t="str">
        <f>IF(E31="Ja!","Afslut beregning af effektiviteten og aflæs ny ABV % ovenfor.","")</f>
        <v>Afslut beregning af effektiviteten og aflæs ny ABV % ovenfor.</v>
      </c>
      <c r="B32" s="365"/>
      <c r="C32" s="365"/>
      <c r="D32" s="365"/>
      <c r="E32" s="365"/>
      <c r="F32" s="365"/>
      <c r="G32" s="38" t="s">
        <v>94</v>
      </c>
      <c r="H32" s="30"/>
      <c r="I32" s="30"/>
      <c r="J32" s="30"/>
      <c r="K32" s="30"/>
      <c r="L32" s="30"/>
      <c r="M32" s="46"/>
      <c r="N32" s="56"/>
      <c r="O32" s="132" t="s">
        <v>51</v>
      </c>
      <c r="P32" s="86"/>
      <c r="Q32" s="50" t="str">
        <f>+O34</f>
        <v>Solbær</v>
      </c>
      <c r="R32" s="49" t="s">
        <v>46</v>
      </c>
      <c r="S32" s="3" t="s">
        <v>33</v>
      </c>
      <c r="T32" s="9">
        <v>0.84</v>
      </c>
      <c r="U32" s="10">
        <v>0.13300000000000001</v>
      </c>
      <c r="V32" s="73">
        <f t="shared" si="21"/>
        <v>210</v>
      </c>
      <c r="W32" s="74">
        <f t="shared" si="22"/>
        <v>33.25</v>
      </c>
      <c r="X32" s="73">
        <f t="shared" si="2"/>
        <v>0</v>
      </c>
      <c r="Y32" s="75">
        <f t="shared" si="3"/>
        <v>0</v>
      </c>
      <c r="Z32" s="64">
        <f t="shared" si="19"/>
        <v>0</v>
      </c>
      <c r="AA32" s="65">
        <f t="shared" si="20"/>
        <v>0</v>
      </c>
      <c r="AB32" s="64">
        <f t="shared" si="4"/>
        <v>0</v>
      </c>
      <c r="AC32" s="66">
        <f t="shared" si="5"/>
        <v>0</v>
      </c>
      <c r="AD32" s="73">
        <f t="shared" si="6"/>
        <v>0</v>
      </c>
      <c r="AE32" s="75">
        <f t="shared" si="7"/>
        <v>0</v>
      </c>
      <c r="AF32" s="73">
        <f t="shared" si="8"/>
        <v>0</v>
      </c>
      <c r="AG32" s="74">
        <f t="shared" si="9"/>
        <v>0</v>
      </c>
      <c r="AH32" s="64">
        <f t="shared" si="10"/>
        <v>0</v>
      </c>
      <c r="AI32" s="65">
        <f t="shared" si="11"/>
        <v>0</v>
      </c>
      <c r="AJ32" s="64">
        <f t="shared" si="12"/>
        <v>0</v>
      </c>
      <c r="AK32" s="65">
        <f t="shared" si="13"/>
        <v>0</v>
      </c>
      <c r="AL32" s="64">
        <f t="shared" si="14"/>
        <v>0</v>
      </c>
      <c r="AM32" s="65">
        <f t="shared" si="15"/>
        <v>0</v>
      </c>
      <c r="AN32" s="64">
        <f t="shared" si="16"/>
        <v>0</v>
      </c>
      <c r="AO32" s="65">
        <f t="shared" si="17"/>
        <v>0</v>
      </c>
      <c r="AP32" s="46"/>
      <c r="AQ32" s="27">
        <v>0.7</v>
      </c>
      <c r="AR32" s="430"/>
      <c r="AS32" s="76"/>
      <c r="AT32" s="293">
        <v>45</v>
      </c>
      <c r="AU32" s="300">
        <v>0.99085806999999992</v>
      </c>
      <c r="AV32" s="163"/>
      <c r="AW32" s="163"/>
      <c r="AX32" s="163"/>
      <c r="AY32" s="163" t="s">
        <v>219</v>
      </c>
      <c r="AZ32" s="46"/>
      <c r="BA32" s="272" t="str">
        <f>IF($AW$8="RomTopf To Alkoholer","","Bærudnyttelsesgraden blev:")</f>
        <v>Bærudnyttelsesgraden blev:</v>
      </c>
      <c r="BD32" s="238">
        <f>IF(AW8="Kryddersnaps Likør",A23,"")</f>
        <v>0.84</v>
      </c>
      <c r="BE32" s="242" t="str">
        <f>IF(AW8="RomTopf To Alkoholer","",IF($BD$32&gt;$AR$11,"Over normalområdet, godt gået!",IF($BD$32&lt;$AR$33,"Under normalområdet, det kan gøres bedre.",IF(AND($BD$32&lt;=90%,$BD$32&gt;=70%),"det ligger inden for normalområdet, som er 70% til 90%.",""))))</f>
        <v>det ligger inden for normalområdet, som er 70% til 90%.</v>
      </c>
      <c r="BH32" s="142"/>
      <c r="BI32" s="142"/>
      <c r="BJ32" s="345" t="s">
        <v>265</v>
      </c>
      <c r="BK32" s="345"/>
      <c r="BL32" s="46"/>
      <c r="BM32" s="163" t="s">
        <v>161</v>
      </c>
      <c r="BN32" s="163" t="s">
        <v>202</v>
      </c>
      <c r="BO32" s="163"/>
      <c r="BP32" s="163"/>
      <c r="BQ32" s="163"/>
      <c r="BR32" s="163"/>
      <c r="BS32" s="163"/>
      <c r="BT32" s="163"/>
      <c r="BU32" s="163"/>
      <c r="BV32" s="163"/>
    </row>
    <row r="33" spans="1:74" ht="20.100000000000001" customHeight="1" thickBot="1">
      <c r="A33" s="59" t="s">
        <v>230</v>
      </c>
      <c r="B33" s="46"/>
      <c r="C33" s="46"/>
      <c r="D33" s="126"/>
      <c r="E33" s="126"/>
      <c r="F33" s="46"/>
      <c r="G33" s="37" t="s">
        <v>97</v>
      </c>
      <c r="H33" s="29"/>
      <c r="I33" s="29"/>
      <c r="J33" s="30"/>
      <c r="K33" s="30"/>
      <c r="L33" s="30"/>
      <c r="M33" s="46"/>
      <c r="N33" s="56"/>
      <c r="O33" s="137" t="s">
        <v>43</v>
      </c>
      <c r="P33" s="17"/>
      <c r="Q33" s="101" t="str">
        <f>+$V$2</f>
        <v>Gram Vand</v>
      </c>
      <c r="R33" s="102">
        <f>VLOOKUP($Q$32,$S$3:$AG$33,14)</f>
        <v>0</v>
      </c>
      <c r="S33" s="39" t="s">
        <v>35</v>
      </c>
      <c r="T33" s="14">
        <v>0.85699999999999998</v>
      </c>
      <c r="U33" s="15">
        <v>0.107</v>
      </c>
      <c r="V33" s="103">
        <f t="shared" si="21"/>
        <v>214.25</v>
      </c>
      <c r="W33" s="104">
        <f t="shared" si="22"/>
        <v>26.75</v>
      </c>
      <c r="X33" s="103">
        <f t="shared" si="2"/>
        <v>0</v>
      </c>
      <c r="Y33" s="105">
        <f t="shared" si="3"/>
        <v>0</v>
      </c>
      <c r="Z33" s="106">
        <f t="shared" si="19"/>
        <v>0</v>
      </c>
      <c r="AA33" s="107">
        <f t="shared" si="20"/>
        <v>0</v>
      </c>
      <c r="AB33" s="106">
        <f t="shared" si="4"/>
        <v>0</v>
      </c>
      <c r="AC33" s="108">
        <f t="shared" si="5"/>
        <v>0</v>
      </c>
      <c r="AD33" s="103">
        <f t="shared" si="6"/>
        <v>0</v>
      </c>
      <c r="AE33" s="105">
        <f t="shared" si="7"/>
        <v>0</v>
      </c>
      <c r="AF33" s="103">
        <f t="shared" si="8"/>
        <v>0</v>
      </c>
      <c r="AG33" s="104">
        <f t="shared" si="9"/>
        <v>0</v>
      </c>
      <c r="AH33" s="106">
        <f t="shared" si="10"/>
        <v>0</v>
      </c>
      <c r="AI33" s="107">
        <f t="shared" si="11"/>
        <v>0</v>
      </c>
      <c r="AJ33" s="106">
        <f t="shared" si="12"/>
        <v>0</v>
      </c>
      <c r="AK33" s="107">
        <f t="shared" si="13"/>
        <v>0</v>
      </c>
      <c r="AL33" s="106">
        <f t="shared" si="14"/>
        <v>0</v>
      </c>
      <c r="AM33" s="107">
        <f t="shared" si="15"/>
        <v>0</v>
      </c>
      <c r="AN33" s="106">
        <f t="shared" si="16"/>
        <v>0</v>
      </c>
      <c r="AO33" s="107">
        <f t="shared" si="17"/>
        <v>0</v>
      </c>
      <c r="AP33" s="46"/>
      <c r="AQ33" s="26">
        <v>0.69</v>
      </c>
      <c r="AR33" s="267">
        <v>0.7</v>
      </c>
      <c r="AS33" s="76"/>
      <c r="AT33" s="292">
        <v>50</v>
      </c>
      <c r="AU33" s="299">
        <v>0.9878797399999999</v>
      </c>
      <c r="AV33" s="163"/>
      <c r="AW33" s="163"/>
      <c r="AX33" s="163"/>
      <c r="AY33" s="163"/>
      <c r="AZ33" s="46"/>
      <c r="BJ33" s="70">
        <f>+F3</f>
        <v>20</v>
      </c>
      <c r="BK33" s="325" t="s">
        <v>264</v>
      </c>
      <c r="BL33" s="46"/>
      <c r="BM33" s="163" t="s">
        <v>139</v>
      </c>
      <c r="BN33" s="163" t="s">
        <v>200</v>
      </c>
      <c r="BO33" s="163"/>
      <c r="BP33" s="163"/>
      <c r="BQ33" s="163"/>
      <c r="BR33" s="163"/>
      <c r="BS33" s="163"/>
      <c r="BT33" s="163"/>
      <c r="BU33" s="163"/>
      <c r="BV33" s="163"/>
    </row>
    <row r="34" spans="1:74" ht="20.100000000000001" customHeight="1" thickBot="1">
      <c r="A34" s="59" t="s">
        <v>223</v>
      </c>
      <c r="B34" s="46"/>
      <c r="C34" s="182"/>
      <c r="D34" s="126"/>
      <c r="E34" s="126"/>
      <c r="F34" s="46"/>
      <c r="G34" s="46"/>
      <c r="H34" s="46"/>
      <c r="I34" s="46"/>
      <c r="J34" s="46"/>
      <c r="K34" s="46"/>
      <c r="L34" s="46"/>
      <c r="M34" s="46"/>
      <c r="N34" s="56"/>
      <c r="O34" s="319" t="s">
        <v>27</v>
      </c>
      <c r="P34" s="71"/>
      <c r="Q34" s="16" t="str">
        <f>+$W$2</f>
        <v>Gram Sukker</v>
      </c>
      <c r="R34" s="72">
        <f>VLOOKUP($Q$32,$S$3:$AG$33,15)</f>
        <v>0</v>
      </c>
      <c r="S34" s="59"/>
      <c r="T34" s="46"/>
      <c r="U34" s="46"/>
      <c r="V34" s="46"/>
      <c r="W34" s="58"/>
      <c r="X34" s="46"/>
      <c r="Y34" s="46"/>
      <c r="Z34" s="46"/>
      <c r="AA34" s="46"/>
      <c r="AB34" s="46"/>
      <c r="AC34" s="46"/>
      <c r="AD34" s="46"/>
      <c r="AE34" s="46"/>
      <c r="AF34" s="46"/>
      <c r="AG34" s="46"/>
      <c r="AH34" s="46"/>
      <c r="AI34" s="46"/>
      <c r="AJ34" s="46"/>
      <c r="AK34" s="46"/>
      <c r="AL34" s="46"/>
      <c r="AM34" s="46"/>
      <c r="AN34" s="46"/>
      <c r="AO34" s="46"/>
      <c r="AP34" s="46"/>
      <c r="AQ34" s="26">
        <v>0.68</v>
      </c>
      <c r="AR34" s="358" t="s">
        <v>218</v>
      </c>
      <c r="AS34" s="76"/>
      <c r="AT34" s="293">
        <v>55</v>
      </c>
      <c r="AU34" s="300">
        <f>+AU33-0.00297833</f>
        <v>0.98490140999999987</v>
      </c>
      <c r="AV34" s="163"/>
      <c r="AW34" s="163"/>
      <c r="AX34" s="163"/>
      <c r="AY34" s="163"/>
      <c r="AZ34" s="46"/>
      <c r="BK34" s="204"/>
      <c r="BL34" s="46"/>
      <c r="BM34" s="163" t="s">
        <v>177</v>
      </c>
      <c r="BN34" s="163" t="s">
        <v>203</v>
      </c>
      <c r="BO34" s="163"/>
      <c r="BP34" s="163"/>
      <c r="BQ34" s="163"/>
      <c r="BR34" s="163"/>
      <c r="BS34" s="163"/>
      <c r="BT34" s="181"/>
      <c r="BU34" s="163"/>
      <c r="BV34" s="163"/>
    </row>
    <row r="35" spans="1:74" ht="20.100000000000001" customHeight="1">
      <c r="A35" s="59" t="s">
        <v>206</v>
      </c>
      <c r="B35" s="46"/>
      <c r="C35" s="46"/>
      <c r="D35" s="126"/>
      <c r="E35" s="126"/>
      <c r="F35" s="46"/>
      <c r="G35" s="415" t="s">
        <v>215</v>
      </c>
      <c r="H35" s="415"/>
      <c r="I35" s="230">
        <f>ROUND(L17/K17,3)</f>
        <v>1.6E-2</v>
      </c>
      <c r="J35" s="229" t="s">
        <v>122</v>
      </c>
      <c r="K35" s="46"/>
      <c r="L35" s="46"/>
      <c r="M35" s="46"/>
      <c r="N35" s="56"/>
      <c r="O35" s="135" t="s">
        <v>95</v>
      </c>
      <c r="P35" s="46"/>
      <c r="Q35" s="17"/>
      <c r="R35" s="17"/>
      <c r="S35" s="59"/>
      <c r="T35" s="46"/>
      <c r="U35" s="46"/>
      <c r="V35" s="46"/>
      <c r="W35" s="58"/>
      <c r="X35" s="46"/>
      <c r="Y35" s="46"/>
      <c r="Z35" s="46"/>
      <c r="AA35" s="46"/>
      <c r="AB35" s="46"/>
      <c r="AC35" s="46"/>
      <c r="AD35" s="46"/>
      <c r="AE35" s="46"/>
      <c r="AF35" s="46"/>
      <c r="AG35" s="46"/>
      <c r="AH35" s="46"/>
      <c r="AI35" s="46"/>
      <c r="AJ35" s="46"/>
      <c r="AK35" s="46"/>
      <c r="AL35" s="46"/>
      <c r="AM35" s="46"/>
      <c r="AN35" s="46"/>
      <c r="AO35" s="46"/>
      <c r="AP35" s="46"/>
      <c r="AQ35" s="26">
        <v>0.67</v>
      </c>
      <c r="AR35" s="358"/>
      <c r="AS35" s="76"/>
      <c r="AT35" s="292">
        <v>60</v>
      </c>
      <c r="AU35" s="299">
        <v>0.98329599999999995</v>
      </c>
      <c r="AV35" s="163"/>
      <c r="AW35" s="163"/>
      <c r="AX35" s="163"/>
      <c r="AY35" s="163"/>
      <c r="AZ35" s="46"/>
      <c r="BA35" s="221" t="s">
        <v>171</v>
      </c>
      <c r="BB35" s="221"/>
      <c r="BC35" s="359" t="str">
        <f>+BD3</f>
        <v>Kryddersnaps</v>
      </c>
      <c r="BD35" s="359"/>
      <c r="BE35" s="222" t="s">
        <v>199</v>
      </c>
      <c r="BF35" s="221"/>
      <c r="BG35" s="221"/>
      <c r="BH35" s="221"/>
      <c r="BI35" s="204"/>
      <c r="BJ35" s="204"/>
      <c r="BK35" s="142"/>
      <c r="BL35" s="46"/>
      <c r="BM35" s="163"/>
      <c r="BN35" s="163"/>
      <c r="BO35" s="163"/>
      <c r="BP35" s="163"/>
      <c r="BQ35" s="163"/>
      <c r="BR35" s="163"/>
      <c r="BS35" s="163"/>
      <c r="BT35" s="163"/>
      <c r="BU35" s="163"/>
      <c r="BV35" s="163"/>
    </row>
    <row r="36" spans="1:74" ht="20.100000000000001" customHeight="1" thickBot="1">
      <c r="A36" s="59" t="s">
        <v>207</v>
      </c>
      <c r="B36" s="46"/>
      <c r="C36" s="46"/>
      <c r="D36" s="126"/>
      <c r="E36" s="126"/>
      <c r="F36" s="46"/>
      <c r="G36" s="109"/>
      <c r="H36" s="110"/>
      <c r="I36" s="110" t="s">
        <v>87</v>
      </c>
      <c r="J36" s="111" t="s">
        <v>88</v>
      </c>
      <c r="K36" s="416" t="s">
        <v>163</v>
      </c>
      <c r="L36" s="368"/>
      <c r="M36" s="368"/>
      <c r="N36" s="420"/>
      <c r="O36" s="136">
        <v>0</v>
      </c>
      <c r="P36" s="17"/>
      <c r="Q36" s="17"/>
      <c r="R36" s="17"/>
      <c r="S36" s="59"/>
      <c r="T36" s="46"/>
      <c r="U36" s="46"/>
      <c r="V36" s="46"/>
      <c r="W36" s="58"/>
      <c r="X36" s="46"/>
      <c r="Y36" s="46"/>
      <c r="Z36" s="46"/>
      <c r="AA36" s="46"/>
      <c r="AB36" s="46"/>
      <c r="AC36" s="46"/>
      <c r="AD36" s="46"/>
      <c r="AE36" s="46"/>
      <c r="AF36" s="46"/>
      <c r="AG36" s="46"/>
      <c r="AH36" s="46"/>
      <c r="AI36" s="46"/>
      <c r="AJ36" s="46"/>
      <c r="AK36" s="46"/>
      <c r="AL36" s="46"/>
      <c r="AM36" s="46"/>
      <c r="AN36" s="46"/>
      <c r="AO36" s="46"/>
      <c r="AP36" s="46"/>
      <c r="AQ36" s="26">
        <v>0.66</v>
      </c>
      <c r="AR36" s="358"/>
      <c r="AS36" s="76"/>
      <c r="AT36" s="293">
        <v>65</v>
      </c>
      <c r="AU36" s="300">
        <v>0.98050949999999992</v>
      </c>
      <c r="AV36" s="163"/>
      <c r="AW36" s="163"/>
      <c r="AX36" s="163"/>
      <c r="AY36" s="163"/>
      <c r="AZ36" s="46"/>
      <c r="BA36" s="221" t="s">
        <v>172</v>
      </c>
      <c r="BB36" s="221"/>
      <c r="BC36" s="221"/>
      <c r="BD36" s="221"/>
      <c r="BE36" s="221"/>
      <c r="BF36" s="221"/>
      <c r="BG36" s="221"/>
      <c r="BH36" s="221"/>
      <c r="BI36" s="204"/>
      <c r="BJ36" s="204"/>
      <c r="BK36" s="142"/>
      <c r="BL36" s="46"/>
      <c r="BM36" s="163"/>
      <c r="BN36" s="163"/>
      <c r="BO36" s="212"/>
      <c r="BP36" s="163"/>
      <c r="BQ36" s="163"/>
      <c r="BR36" s="163"/>
      <c r="BS36" s="163"/>
      <c r="BT36" s="163"/>
      <c r="BU36" s="163"/>
      <c r="BV36" s="163"/>
    </row>
    <row r="37" spans="1:74" ht="20.100000000000001" customHeight="1" thickBot="1">
      <c r="A37" s="59" t="s">
        <v>208</v>
      </c>
      <c r="B37" s="46"/>
      <c r="C37" s="46"/>
      <c r="D37" s="126"/>
      <c r="E37" s="126"/>
      <c r="F37" s="46"/>
      <c r="G37" s="98" t="s">
        <v>59</v>
      </c>
      <c r="H37" s="79"/>
      <c r="I37" s="112">
        <v>0.999</v>
      </c>
      <c r="J37" s="113">
        <f>100%-I37</f>
        <v>1.0000000000000009E-3</v>
      </c>
      <c r="K37" s="179" t="s">
        <v>162</v>
      </c>
      <c r="L37" s="214">
        <v>0.28000000000000003</v>
      </c>
      <c r="M37" s="46"/>
      <c r="N37" s="56"/>
      <c r="O37" s="46"/>
      <c r="P37" s="46"/>
      <c r="Q37" s="46"/>
      <c r="R37" s="46"/>
      <c r="S37" s="59"/>
      <c r="T37" s="46"/>
      <c r="U37" s="46"/>
      <c r="V37" s="46"/>
      <c r="W37" s="58"/>
      <c r="X37" s="46"/>
      <c r="Y37" s="46"/>
      <c r="Z37" s="46"/>
      <c r="AA37" s="46"/>
      <c r="AB37" s="46"/>
      <c r="AC37" s="46"/>
      <c r="AD37" s="46"/>
      <c r="AE37" s="46"/>
      <c r="AF37" s="46"/>
      <c r="AG37" s="46"/>
      <c r="AH37" s="46"/>
      <c r="AI37" s="46"/>
      <c r="AJ37" s="46"/>
      <c r="AK37" s="46"/>
      <c r="AL37" s="46"/>
      <c r="AM37" s="46"/>
      <c r="AN37" s="46"/>
      <c r="AO37" s="46"/>
      <c r="AP37" s="46"/>
      <c r="AQ37" s="25">
        <v>0.65</v>
      </c>
      <c r="AR37" s="358"/>
      <c r="AS37" s="76"/>
      <c r="AT37" s="292">
        <v>70</v>
      </c>
      <c r="AU37" s="299">
        <v>0.9777229999999999</v>
      </c>
      <c r="AV37" s="163"/>
      <c r="AW37" s="163"/>
      <c r="AX37" s="163"/>
      <c r="AY37" s="163"/>
      <c r="AZ37" s="46"/>
      <c r="BA37" s="142"/>
      <c r="BB37" s="142"/>
      <c r="BC37" s="142"/>
      <c r="BD37" s="142"/>
      <c r="BE37" s="142"/>
      <c r="BF37" s="142"/>
      <c r="BG37" s="142"/>
      <c r="BH37" s="142"/>
      <c r="BI37" s="142"/>
      <c r="BJ37" s="142"/>
      <c r="BK37" s="142"/>
      <c r="BL37" s="46"/>
      <c r="BM37" s="142" t="str">
        <f>IF($BD$32&gt;$AR$11,"Over normalområdet, godt gået!",IF($BD$32&lt;$AR$33,"Under normalområdet, det kan gøres bedre.",IF(AND($BD$32&lt;=90%,$BD$32&gt;=70%),"det ligger inden for normalområdet, som er 70% til 90%.","")))</f>
        <v>det ligger inden for normalområdet, som er 70% til 90%.</v>
      </c>
      <c r="BN37" s="163"/>
      <c r="BO37" s="279"/>
      <c r="BP37" s="279"/>
      <c r="BQ37" s="279"/>
      <c r="BR37" s="279"/>
      <c r="BS37" s="279"/>
      <c r="BT37" s="279"/>
      <c r="BU37" s="163"/>
      <c r="BV37" s="163"/>
    </row>
    <row r="38" spans="1:74" ht="20.100000000000001" customHeight="1" thickBot="1">
      <c r="A38" s="59" t="s">
        <v>209</v>
      </c>
      <c r="B38" s="46"/>
      <c r="C38" s="46"/>
      <c r="D38" s="126"/>
      <c r="E38" s="126"/>
      <c r="F38" s="46"/>
      <c r="G38" s="98" t="s">
        <v>60</v>
      </c>
      <c r="H38" s="79"/>
      <c r="I38" s="114">
        <v>0.82</v>
      </c>
      <c r="J38" s="113">
        <f t="shared" ref="J38:J39" si="28">100%-I38</f>
        <v>0.18000000000000005</v>
      </c>
      <c r="K38" s="179" t="s">
        <v>87</v>
      </c>
      <c r="L38" s="214">
        <v>0.3</v>
      </c>
      <c r="M38" s="46"/>
      <c r="N38" s="56"/>
      <c r="O38" s="132" t="s">
        <v>69</v>
      </c>
      <c r="P38" s="86"/>
      <c r="Q38" s="50" t="str">
        <f>+O40</f>
        <v>Tyttebær</v>
      </c>
      <c r="R38" s="49" t="s">
        <v>46</v>
      </c>
      <c r="S38" s="59"/>
      <c r="T38" s="46"/>
      <c r="U38" s="46"/>
      <c r="V38" s="46"/>
      <c r="W38" s="58"/>
      <c r="X38" s="46"/>
      <c r="Y38" s="46"/>
      <c r="Z38" s="46"/>
      <c r="AA38" s="46"/>
      <c r="AB38" s="46"/>
      <c r="AC38" s="46"/>
      <c r="AD38" s="46"/>
      <c r="AE38" s="46"/>
      <c r="AF38" s="46"/>
      <c r="AG38" s="46"/>
      <c r="AH38" s="46"/>
      <c r="AI38" s="46"/>
      <c r="AJ38" s="46"/>
      <c r="AK38" s="46"/>
      <c r="AL38" s="46"/>
      <c r="AM38" s="46"/>
      <c r="AN38" s="46"/>
      <c r="AO38" s="46"/>
      <c r="AP38" s="46"/>
      <c r="AQ38" s="26">
        <v>0.64</v>
      </c>
      <c r="AR38" s="358"/>
      <c r="AS38" s="76"/>
      <c r="AT38" s="293">
        <v>75</v>
      </c>
      <c r="AU38" s="300">
        <v>0.97493649999999987</v>
      </c>
      <c r="AV38" s="163"/>
      <c r="AW38" s="163"/>
      <c r="AX38" s="163"/>
      <c r="AY38" s="163"/>
      <c r="AZ38" s="46"/>
      <c r="BA38" s="142" t="s">
        <v>197</v>
      </c>
      <c r="BB38" s="142"/>
      <c r="BC38" s="142"/>
      <c r="BD38" s="142"/>
      <c r="BE38" s="142"/>
      <c r="BF38" s="142"/>
      <c r="BG38" s="142"/>
      <c r="BH38" s="142"/>
      <c r="BI38" s="142"/>
      <c r="BJ38" s="142"/>
      <c r="BK38" s="142"/>
      <c r="BL38" s="46"/>
      <c r="BM38" s="163"/>
      <c r="BN38" s="163"/>
      <c r="BO38" s="163"/>
      <c r="BP38" s="163"/>
      <c r="BQ38" s="163"/>
      <c r="BR38" s="163"/>
      <c r="BS38" s="163"/>
      <c r="BT38" s="163"/>
      <c r="BU38" s="163"/>
      <c r="BV38" s="163"/>
    </row>
    <row r="39" spans="1:74" ht="20.100000000000001" customHeight="1">
      <c r="A39" s="59" t="s">
        <v>224</v>
      </c>
      <c r="B39" s="46"/>
      <c r="C39" s="46"/>
      <c r="D39" s="46"/>
      <c r="E39" s="46"/>
      <c r="F39" s="46"/>
      <c r="G39" s="98" t="s">
        <v>61</v>
      </c>
      <c r="H39" s="79"/>
      <c r="I39" s="114">
        <v>1</v>
      </c>
      <c r="J39" s="113">
        <f t="shared" si="28"/>
        <v>0</v>
      </c>
      <c r="K39" s="416" t="s">
        <v>225</v>
      </c>
      <c r="L39" s="368"/>
      <c r="M39" s="368"/>
      <c r="N39" s="420"/>
      <c r="O39" s="137" t="s">
        <v>43</v>
      </c>
      <c r="P39" s="17"/>
      <c r="Q39" s="101" t="str">
        <f>+$V$2</f>
        <v>Gram Vand</v>
      </c>
      <c r="R39" s="115">
        <f>VLOOKUP($Q$38,$S$3:$AO$33,16)</f>
        <v>0</v>
      </c>
      <c r="S39" s="59"/>
      <c r="T39" s="46"/>
      <c r="U39" s="46"/>
      <c r="V39" s="46"/>
      <c r="W39" s="58"/>
      <c r="X39" s="46"/>
      <c r="Y39" s="46"/>
      <c r="Z39" s="46"/>
      <c r="AA39" s="46"/>
      <c r="AB39" s="46"/>
      <c r="AC39" s="46"/>
      <c r="AD39" s="46"/>
      <c r="AE39" s="46"/>
      <c r="AF39" s="46"/>
      <c r="AG39" s="46"/>
      <c r="AH39" s="46"/>
      <c r="AI39" s="46"/>
      <c r="AJ39" s="46"/>
      <c r="AK39" s="46"/>
      <c r="AL39" s="46"/>
      <c r="AM39" s="46"/>
      <c r="AN39" s="46"/>
      <c r="AO39" s="46"/>
      <c r="AP39" s="46"/>
      <c r="AQ39" s="26">
        <v>0.63</v>
      </c>
      <c r="AR39" s="358"/>
      <c r="AS39" s="76"/>
      <c r="AT39" s="292">
        <v>80</v>
      </c>
      <c r="AU39" s="299">
        <v>0.97214999999999996</v>
      </c>
      <c r="AV39" s="163"/>
      <c r="AW39" s="163"/>
      <c r="AX39" s="163"/>
      <c r="AY39" s="163"/>
      <c r="AZ39" s="46"/>
      <c r="BA39" s="204"/>
      <c r="BB39" s="142"/>
      <c r="BC39" s="142"/>
      <c r="BD39" s="142"/>
      <c r="BE39" s="142"/>
      <c r="BF39" s="142"/>
      <c r="BG39" s="142"/>
      <c r="BH39" s="142"/>
      <c r="BI39" s="142"/>
      <c r="BJ39" s="142"/>
      <c r="BK39" s="142"/>
      <c r="BL39" s="46"/>
      <c r="BM39" s="213"/>
      <c r="BN39" s="213"/>
      <c r="BO39" s="213"/>
      <c r="BP39" s="213"/>
      <c r="BQ39" s="213"/>
      <c r="BR39" s="163"/>
      <c r="BS39" s="163"/>
      <c r="BT39" s="163"/>
      <c r="BU39" s="163"/>
      <c r="BV39" s="163"/>
    </row>
    <row r="40" spans="1:74" ht="20.100000000000001" customHeight="1" thickBot="1">
      <c r="A40" s="59" t="s">
        <v>231</v>
      </c>
      <c r="B40" s="46"/>
      <c r="C40" s="46"/>
      <c r="D40" s="46"/>
      <c r="E40" s="46"/>
      <c r="F40" s="46"/>
      <c r="G40" s="421" t="s">
        <v>115</v>
      </c>
      <c r="H40" s="365"/>
      <c r="I40" s="365"/>
      <c r="J40" s="422"/>
      <c r="K40" s="416" t="s">
        <v>164</v>
      </c>
      <c r="L40" s="368"/>
      <c r="M40" s="368"/>
      <c r="N40" s="420"/>
      <c r="O40" s="319" t="s">
        <v>31</v>
      </c>
      <c r="P40" s="71"/>
      <c r="Q40" s="16" t="str">
        <f>+$W$2</f>
        <v>Gram Sukker</v>
      </c>
      <c r="R40" s="72">
        <f>VLOOKUP($Q$38,$S$3:$AO$33,17)</f>
        <v>0</v>
      </c>
      <c r="S40" s="59"/>
      <c r="T40" s="46"/>
      <c r="U40" s="46"/>
      <c r="V40" s="46"/>
      <c r="W40" s="58"/>
      <c r="X40" s="46"/>
      <c r="Y40" s="46"/>
      <c r="Z40" s="46"/>
      <c r="AA40" s="46"/>
      <c r="AB40" s="46"/>
      <c r="AC40" s="46"/>
      <c r="AD40" s="46"/>
      <c r="AE40" s="46"/>
      <c r="AF40" s="46"/>
      <c r="AG40" s="46"/>
      <c r="AH40" s="46"/>
      <c r="AI40" s="46"/>
      <c r="AJ40" s="46"/>
      <c r="AK40" s="46"/>
      <c r="AL40" s="46"/>
      <c r="AM40" s="46"/>
      <c r="AN40" s="46"/>
      <c r="AO40" s="46"/>
      <c r="AP40" s="46"/>
      <c r="AQ40" s="26">
        <v>0.62</v>
      </c>
      <c r="AR40" s="358"/>
      <c r="AS40" s="76"/>
      <c r="AT40" s="293">
        <v>85</v>
      </c>
      <c r="AU40" s="300">
        <v>0.96893825</v>
      </c>
      <c r="AV40" s="163"/>
      <c r="AW40" s="163"/>
      <c r="AX40" s="163"/>
      <c r="AY40" s="163"/>
      <c r="AZ40" s="46"/>
      <c r="BA40" s="142" t="s">
        <v>198</v>
      </c>
      <c r="BB40" s="142"/>
      <c r="BC40" s="142"/>
      <c r="BD40" s="142"/>
      <c r="BE40" s="142"/>
      <c r="BF40" s="142"/>
      <c r="BG40" s="142"/>
      <c r="BH40" s="142"/>
      <c r="BI40" s="142"/>
      <c r="BJ40" s="142"/>
      <c r="BK40" s="142"/>
      <c r="BL40" s="46"/>
      <c r="BM40" s="213"/>
      <c r="BN40" s="213"/>
      <c r="BO40" s="213"/>
      <c r="BP40" s="213"/>
      <c r="BQ40" s="213"/>
      <c r="BR40" s="163"/>
      <c r="BS40" s="163"/>
      <c r="BT40" s="163"/>
      <c r="BU40" s="163"/>
      <c r="BV40" s="163"/>
    </row>
    <row r="41" spans="1:74" ht="20.100000000000001" customHeight="1">
      <c r="A41" s="59" t="s">
        <v>214</v>
      </c>
      <c r="B41" s="46"/>
      <c r="C41" s="46"/>
      <c r="D41" s="46"/>
      <c r="E41" s="46"/>
      <c r="F41" s="46"/>
      <c r="G41" s="99" t="s">
        <v>116</v>
      </c>
      <c r="H41" s="100"/>
      <c r="I41" s="161">
        <v>0.8</v>
      </c>
      <c r="J41" s="116">
        <f>100%-I41</f>
        <v>0.19999999999999996</v>
      </c>
      <c r="K41" s="416" t="s">
        <v>165</v>
      </c>
      <c r="L41" s="368"/>
      <c r="M41" s="368"/>
      <c r="N41" s="420"/>
      <c r="O41" s="135" t="s">
        <v>95</v>
      </c>
      <c r="P41" s="46"/>
      <c r="Q41" s="17"/>
      <c r="R41" s="17"/>
      <c r="S41" s="59"/>
      <c r="T41" s="46"/>
      <c r="U41" s="46"/>
      <c r="V41" s="46"/>
      <c r="W41" s="58"/>
      <c r="X41" s="46"/>
      <c r="Y41" s="46"/>
      <c r="Z41" s="46"/>
      <c r="AA41" s="46"/>
      <c r="AB41" s="46"/>
      <c r="AC41" s="46"/>
      <c r="AD41" s="46"/>
      <c r="AE41" s="46"/>
      <c r="AF41" s="46"/>
      <c r="AG41" s="46"/>
      <c r="AH41" s="46"/>
      <c r="AI41" s="46"/>
      <c r="AJ41" s="46"/>
      <c r="AK41" s="46"/>
      <c r="AL41" s="46"/>
      <c r="AM41" s="46"/>
      <c r="AN41" s="46"/>
      <c r="AO41" s="46"/>
      <c r="AP41" s="46"/>
      <c r="AQ41" s="26">
        <v>0.61</v>
      </c>
      <c r="AR41" s="358"/>
      <c r="AS41" s="76"/>
      <c r="AT41" s="292">
        <v>90</v>
      </c>
      <c r="AU41" s="299">
        <v>0.96572650000000004</v>
      </c>
      <c r="AV41" s="163"/>
      <c r="AW41" s="163"/>
      <c r="AX41" s="163"/>
      <c r="AY41" s="163"/>
      <c r="AZ41" s="46"/>
      <c r="BA41" s="142"/>
      <c r="BB41" s="142"/>
      <c r="BC41" s="142"/>
      <c r="BD41" s="142"/>
      <c r="BE41" s="142"/>
      <c r="BF41" s="142"/>
      <c r="BG41" s="142"/>
      <c r="BH41" s="142"/>
      <c r="BI41" s="142"/>
      <c r="BJ41" s="142"/>
      <c r="BK41" s="142"/>
      <c r="BL41" s="46"/>
      <c r="BM41" s="213"/>
      <c r="BN41" s="213"/>
      <c r="BO41" s="213"/>
      <c r="BP41" s="213"/>
      <c r="BQ41" s="213"/>
      <c r="BR41" s="163"/>
      <c r="BS41" s="163"/>
      <c r="BT41" s="163"/>
      <c r="BU41" s="163"/>
      <c r="BV41" s="163"/>
    </row>
    <row r="42" spans="1:74" ht="20.100000000000001" customHeight="1" thickBot="1">
      <c r="A42" s="59"/>
      <c r="B42" s="46"/>
      <c r="C42" s="46"/>
      <c r="D42" s="46"/>
      <c r="E42" s="46"/>
      <c r="F42" s="46"/>
      <c r="G42" s="423" t="s">
        <v>191</v>
      </c>
      <c r="H42" s="423"/>
      <c r="I42" s="423"/>
      <c r="J42" s="423"/>
      <c r="K42" s="46"/>
      <c r="L42" s="46"/>
      <c r="M42" s="46"/>
      <c r="N42" s="56"/>
      <c r="O42" s="136">
        <v>0</v>
      </c>
      <c r="P42" s="17"/>
      <c r="Q42" s="17"/>
      <c r="R42" s="17"/>
      <c r="S42" s="59"/>
      <c r="T42" s="46"/>
      <c r="U42" s="46"/>
      <c r="V42" s="46"/>
      <c r="W42" s="58"/>
      <c r="X42" s="46"/>
      <c r="Y42" s="46"/>
      <c r="Z42" s="46"/>
      <c r="AA42" s="46"/>
      <c r="AB42" s="46"/>
      <c r="AC42" s="46"/>
      <c r="AD42" s="46"/>
      <c r="AE42" s="46"/>
      <c r="AF42" s="46"/>
      <c r="AG42" s="46"/>
      <c r="AH42" s="46"/>
      <c r="AI42" s="46"/>
      <c r="AJ42" s="46"/>
      <c r="AK42" s="46"/>
      <c r="AL42" s="46"/>
      <c r="AM42" s="46"/>
      <c r="AN42" s="46"/>
      <c r="AO42" s="46"/>
      <c r="AP42" s="46"/>
      <c r="AQ42" s="25">
        <v>0.6</v>
      </c>
      <c r="AR42" s="358"/>
      <c r="AS42" s="76"/>
      <c r="AT42" s="293">
        <v>95</v>
      </c>
      <c r="AU42" s="300">
        <v>0.96251475000000009</v>
      </c>
      <c r="AV42" s="163"/>
      <c r="AW42" s="163"/>
      <c r="AX42" s="163"/>
      <c r="AY42" s="163"/>
      <c r="AZ42" s="46"/>
      <c r="BA42" s="142" t="s">
        <v>127</v>
      </c>
      <c r="BB42" s="142"/>
      <c r="BC42" s="142"/>
      <c r="BD42" s="142"/>
      <c r="BE42" s="142"/>
      <c r="BF42" s="142"/>
      <c r="BG42" s="142"/>
      <c r="BH42" s="142"/>
      <c r="BI42" s="142"/>
      <c r="BJ42" s="142"/>
      <c r="BK42" s="142"/>
      <c r="BL42" s="46"/>
      <c r="BM42" s="213"/>
      <c r="BN42" s="213"/>
      <c r="BO42" s="213"/>
      <c r="BP42" s="213"/>
      <c r="BQ42" s="213"/>
      <c r="BR42" s="163"/>
      <c r="BS42" s="163"/>
      <c r="BT42" s="163"/>
      <c r="BU42" s="163"/>
      <c r="BV42" s="163"/>
    </row>
    <row r="43" spans="1:74" ht="20.100000000000001" customHeight="1" thickBot="1">
      <c r="A43" s="227" t="s">
        <v>228</v>
      </c>
      <c r="B43" s="36"/>
      <c r="C43" s="261"/>
      <c r="D43" s="261"/>
      <c r="E43" s="36"/>
      <c r="F43" s="424" t="s">
        <v>273</v>
      </c>
      <c r="G43" s="424"/>
      <c r="H43" s="424"/>
      <c r="I43" s="424"/>
      <c r="J43" s="424"/>
      <c r="K43" s="424"/>
      <c r="L43" s="46"/>
      <c r="M43" s="46"/>
      <c r="N43" s="56"/>
      <c r="O43" s="46"/>
      <c r="P43" s="46"/>
      <c r="Q43" s="46"/>
      <c r="R43" s="46"/>
      <c r="S43" s="59"/>
      <c r="T43" s="46"/>
      <c r="U43" s="46"/>
      <c r="V43" s="46"/>
      <c r="W43" s="58"/>
      <c r="X43" s="46"/>
      <c r="Y43" s="46"/>
      <c r="Z43" s="46"/>
      <c r="AA43" s="46"/>
      <c r="AB43" s="46"/>
      <c r="AC43" s="46"/>
      <c r="AD43" s="46"/>
      <c r="AE43" s="46"/>
      <c r="AF43" s="46"/>
      <c r="AG43" s="46"/>
      <c r="AH43" s="46"/>
      <c r="AI43" s="46"/>
      <c r="AJ43" s="46"/>
      <c r="AK43" s="46"/>
      <c r="AL43" s="46"/>
      <c r="AM43" s="46"/>
      <c r="AN43" s="46"/>
      <c r="AO43" s="46"/>
      <c r="AP43" s="46"/>
      <c r="AQ43" s="26">
        <v>0.59</v>
      </c>
      <c r="AR43" s="358"/>
      <c r="AS43" s="76"/>
      <c r="AT43" s="292">
        <v>100</v>
      </c>
      <c r="AU43" s="299">
        <v>0.95930300000000002</v>
      </c>
      <c r="AV43" s="163"/>
      <c r="AW43" s="163"/>
      <c r="AX43" s="163"/>
      <c r="AY43" s="163"/>
      <c r="AZ43" s="46"/>
      <c r="BA43" s="142" t="s">
        <v>112</v>
      </c>
      <c r="BB43" s="142"/>
      <c r="BC43" s="142"/>
      <c r="BD43" s="142"/>
      <c r="BE43" s="142"/>
      <c r="BF43" s="142"/>
      <c r="BG43" s="142"/>
      <c r="BH43" s="142"/>
      <c r="BI43" s="142"/>
      <c r="BJ43" s="142"/>
      <c r="BK43" s="142"/>
      <c r="BL43" s="46"/>
      <c r="BM43" s="213"/>
      <c r="BN43" s="213"/>
      <c r="BO43" s="213"/>
      <c r="BP43" s="213"/>
      <c r="BQ43" s="213"/>
      <c r="BR43" s="163"/>
      <c r="BS43" s="163"/>
      <c r="BT43" s="163"/>
      <c r="BU43" s="163"/>
      <c r="BV43" s="163"/>
    </row>
    <row r="44" spans="1:74" ht="20.100000000000001" customHeight="1" thickBot="1">
      <c r="A44" s="120"/>
      <c r="B44" s="118"/>
      <c r="C44" s="118"/>
      <c r="D44" s="118"/>
      <c r="E44" s="118"/>
      <c r="F44" s="118"/>
      <c r="G44" s="118"/>
      <c r="H44" s="119"/>
      <c r="I44" s="118"/>
      <c r="J44" s="119"/>
      <c r="K44" s="118"/>
      <c r="L44" s="118"/>
      <c r="M44" s="118"/>
      <c r="N44" s="121"/>
      <c r="O44" s="132" t="s">
        <v>70</v>
      </c>
      <c r="P44" s="86"/>
      <c r="Q44" s="50" t="str">
        <f>+O46</f>
        <v>Vindruer</v>
      </c>
      <c r="R44" s="49" t="s">
        <v>46</v>
      </c>
      <c r="S44" s="59"/>
      <c r="T44" s="46"/>
      <c r="U44" s="46"/>
      <c r="V44" s="46"/>
      <c r="W44" s="58"/>
      <c r="X44" s="46"/>
      <c r="Y44" s="46"/>
      <c r="Z44" s="46"/>
      <c r="AA44" s="46"/>
      <c r="AB44" s="46"/>
      <c r="AC44" s="46"/>
      <c r="AD44" s="46"/>
      <c r="AE44" s="46"/>
      <c r="AF44" s="46"/>
      <c r="AG44" s="46"/>
      <c r="AH44" s="46"/>
      <c r="AI44" s="46"/>
      <c r="AJ44" s="46"/>
      <c r="AK44" s="46"/>
      <c r="AL44" s="46"/>
      <c r="AM44" s="46"/>
      <c r="AN44" s="46"/>
      <c r="AO44" s="46"/>
      <c r="AP44" s="46"/>
      <c r="AQ44" s="26">
        <v>0.57999999999999996</v>
      </c>
      <c r="AR44" s="56"/>
      <c r="AS44" s="302"/>
      <c r="AT44" s="303"/>
      <c r="AU44" s="304"/>
      <c r="AV44" s="163"/>
      <c r="AW44" s="163"/>
      <c r="AX44" s="163"/>
      <c r="AY44" s="163"/>
      <c r="AZ44" s="163"/>
      <c r="BA44" s="274"/>
      <c r="BB44" s="274"/>
      <c r="BC44" s="274"/>
      <c r="BD44" s="274"/>
      <c r="BE44" s="274"/>
      <c r="BF44" s="274"/>
      <c r="BG44" s="274"/>
      <c r="BH44" s="274"/>
      <c r="BI44" s="274"/>
      <c r="BJ44" s="274"/>
      <c r="BK44" s="274"/>
      <c r="BL44" s="163"/>
      <c r="BM44" s="163"/>
      <c r="BN44" s="163"/>
      <c r="BO44" s="163"/>
      <c r="BP44" s="163"/>
      <c r="BQ44" s="163"/>
      <c r="BR44" s="163"/>
      <c r="BS44" s="163"/>
      <c r="BT44" s="163"/>
      <c r="BU44" s="163"/>
      <c r="BV44" s="163"/>
    </row>
    <row r="45" spans="1:74" ht="20.100000000000001" customHeight="1">
      <c r="A45" s="76"/>
      <c r="B45" s="46"/>
      <c r="C45" s="46"/>
      <c r="D45" s="46"/>
      <c r="E45" s="46"/>
      <c r="F45" s="46"/>
      <c r="G45" s="46"/>
      <c r="H45" s="58"/>
      <c r="I45" s="46"/>
      <c r="J45" s="58"/>
      <c r="K45" s="46"/>
      <c r="L45" s="46"/>
      <c r="M45" s="46"/>
      <c r="N45" s="46"/>
      <c r="O45" s="88" t="s">
        <v>43</v>
      </c>
      <c r="P45" s="17"/>
      <c r="Q45" s="101" t="str">
        <f>+$V$2</f>
        <v>Gram Vand</v>
      </c>
      <c r="R45" s="115">
        <f>VLOOKUP($Q$44,$S$3:$AO$33,18)</f>
        <v>0</v>
      </c>
      <c r="S45" s="59"/>
      <c r="T45" s="46"/>
      <c r="U45" s="46"/>
      <c r="V45" s="46"/>
      <c r="W45" s="58"/>
      <c r="X45" s="46"/>
      <c r="Y45" s="46"/>
      <c r="Z45" s="46"/>
      <c r="AA45" s="46"/>
      <c r="AB45" s="46"/>
      <c r="AC45" s="46"/>
      <c r="AD45" s="46"/>
      <c r="AE45" s="46"/>
      <c r="AF45" s="46"/>
      <c r="AG45" s="46"/>
      <c r="AH45" s="46"/>
      <c r="AI45" s="46"/>
      <c r="AJ45" s="46"/>
      <c r="AK45" s="46"/>
      <c r="AL45" s="46"/>
      <c r="AM45" s="46"/>
      <c r="AN45" s="46"/>
      <c r="AO45" s="46"/>
      <c r="AP45" s="46"/>
      <c r="AQ45" s="26">
        <v>0.56999999999999995</v>
      </c>
      <c r="AR45" s="56"/>
      <c r="AS45" s="286"/>
      <c r="AT45" s="205"/>
      <c r="AU45" s="206"/>
      <c r="AV45" s="163"/>
      <c r="AW45" s="163"/>
      <c r="AX45" s="163"/>
      <c r="AY45" s="163"/>
      <c r="AZ45" s="207"/>
      <c r="BA45" s="46"/>
      <c r="BB45" s="46"/>
      <c r="BC45" s="46"/>
      <c r="BD45" s="46"/>
      <c r="BE45" s="46"/>
      <c r="BF45" s="46"/>
      <c r="BG45" s="46"/>
      <c r="BH45" s="46"/>
      <c r="BI45" s="46"/>
      <c r="BJ45" s="46"/>
      <c r="BK45" s="46"/>
      <c r="BL45" s="109"/>
      <c r="BM45" s="163"/>
      <c r="BN45" s="163"/>
      <c r="BO45" s="163"/>
      <c r="BP45" s="163"/>
      <c r="BQ45" s="163"/>
      <c r="BR45" s="163"/>
      <c r="BS45" s="163"/>
      <c r="BT45" s="163"/>
      <c r="BU45" s="163"/>
      <c r="BV45" s="163"/>
    </row>
    <row r="46" spans="1:74" ht="20.100000000000001" customHeight="1" thickBot="1">
      <c r="A46" s="163" t="s">
        <v>245</v>
      </c>
      <c r="B46" s="46"/>
      <c r="C46" s="46"/>
      <c r="D46" s="46"/>
      <c r="E46" s="46"/>
      <c r="F46" s="46"/>
      <c r="G46" s="46"/>
      <c r="H46" s="58"/>
      <c r="I46" s="46"/>
      <c r="J46" s="58"/>
      <c r="K46" s="46"/>
      <c r="L46" s="46"/>
      <c r="M46" s="46"/>
      <c r="N46" s="46"/>
      <c r="O46" s="320" t="s">
        <v>33</v>
      </c>
      <c r="P46" s="71"/>
      <c r="Q46" s="16" t="str">
        <f>+$W$2</f>
        <v>Gram Sukker</v>
      </c>
      <c r="R46" s="72">
        <f>VLOOKUP($Q$44,$S$3:$AO$33,19)</f>
        <v>0</v>
      </c>
      <c r="S46" s="59"/>
      <c r="T46" s="46"/>
      <c r="U46" s="46"/>
      <c r="V46" s="46"/>
      <c r="W46" s="58"/>
      <c r="X46" s="46"/>
      <c r="Y46" s="46"/>
      <c r="Z46" s="46"/>
      <c r="AA46" s="46"/>
      <c r="AB46" s="46"/>
      <c r="AC46" s="46"/>
      <c r="AD46" s="46"/>
      <c r="AE46" s="46"/>
      <c r="AF46" s="46"/>
      <c r="AG46" s="46"/>
      <c r="AH46" s="46"/>
      <c r="AI46" s="46"/>
      <c r="AJ46" s="46"/>
      <c r="AK46" s="46"/>
      <c r="AL46" s="46"/>
      <c r="AM46" s="46"/>
      <c r="AN46" s="46"/>
      <c r="AO46" s="46"/>
      <c r="AP46" s="46"/>
      <c r="AQ46" s="26">
        <v>0.56000000000000005</v>
      </c>
      <c r="AR46" s="56"/>
      <c r="AS46" s="286"/>
      <c r="AT46" s="205"/>
      <c r="AU46" s="206"/>
      <c r="AV46" s="163"/>
      <c r="AW46" s="163"/>
      <c r="AX46" s="163"/>
      <c r="AY46" s="163"/>
      <c r="AZ46" s="46"/>
      <c r="BA46" s="338" t="s">
        <v>242</v>
      </c>
      <c r="BB46" s="338"/>
      <c r="BC46" s="338"/>
      <c r="BD46" s="338"/>
      <c r="BE46" s="338"/>
      <c r="BF46" s="338"/>
      <c r="BG46" s="338"/>
      <c r="BH46" s="338"/>
      <c r="BI46" s="338"/>
      <c r="BJ46" s="338"/>
      <c r="BK46" s="338"/>
      <c r="BL46" s="46"/>
      <c r="BM46" s="163"/>
      <c r="BN46" s="163"/>
      <c r="BO46" s="163"/>
      <c r="BP46" s="163"/>
      <c r="BQ46" s="163"/>
      <c r="BR46" s="163"/>
      <c r="BS46" s="163"/>
      <c r="BT46" s="163"/>
      <c r="BU46" s="163"/>
      <c r="BV46" s="163"/>
    </row>
    <row r="47" spans="1:74" ht="20.100000000000001" customHeight="1">
      <c r="A47" s="1" t="s">
        <v>246</v>
      </c>
      <c r="B47" s="46"/>
      <c r="C47" s="46"/>
      <c r="D47" s="46"/>
      <c r="E47" s="46"/>
      <c r="F47" s="46"/>
      <c r="G47" s="46"/>
      <c r="H47" s="58"/>
      <c r="I47" s="46"/>
      <c r="J47" s="58"/>
      <c r="K47" s="46"/>
      <c r="L47" s="46"/>
      <c r="M47" s="46"/>
      <c r="N47" s="46"/>
      <c r="O47" s="78" t="s">
        <v>95</v>
      </c>
      <c r="P47" s="46"/>
      <c r="Q47" s="17"/>
      <c r="R47" s="17"/>
      <c r="S47" s="59"/>
      <c r="T47" s="46"/>
      <c r="U47" s="46"/>
      <c r="V47" s="46"/>
      <c r="W47" s="58"/>
      <c r="X47" s="46"/>
      <c r="Y47" s="46"/>
      <c r="Z47" s="46"/>
      <c r="AA47" s="46"/>
      <c r="AB47" s="46"/>
      <c r="AC47" s="46"/>
      <c r="AD47" s="46"/>
      <c r="AE47" s="46"/>
      <c r="AF47" s="46"/>
      <c r="AG47" s="46"/>
      <c r="AH47" s="46"/>
      <c r="AI47" s="46"/>
      <c r="AJ47" s="46"/>
      <c r="AK47" s="46"/>
      <c r="AL47" s="46"/>
      <c r="AM47" s="46"/>
      <c r="AN47" s="46"/>
      <c r="AO47" s="46"/>
      <c r="AP47" s="46"/>
      <c r="AQ47" s="25">
        <v>0.55000000000000004</v>
      </c>
      <c r="AR47" s="56"/>
      <c r="AS47" s="286"/>
      <c r="AT47" s="205"/>
      <c r="AU47" s="206"/>
      <c r="AV47" s="163"/>
      <c r="AW47" s="163"/>
      <c r="AX47" s="163"/>
      <c r="AY47" s="163"/>
      <c r="AZ47" s="163"/>
      <c r="BA47" s="338"/>
      <c r="BB47" s="338"/>
      <c r="BC47" s="338"/>
      <c r="BD47" s="338"/>
      <c r="BE47" s="338"/>
      <c r="BF47" s="338"/>
      <c r="BG47" s="338"/>
      <c r="BH47" s="338"/>
      <c r="BI47" s="338"/>
      <c r="BJ47" s="338"/>
      <c r="BK47" s="338"/>
      <c r="BL47" s="163"/>
      <c r="BM47" s="163"/>
      <c r="BN47" s="163"/>
      <c r="BO47" s="163"/>
      <c r="BP47" s="163"/>
      <c r="BQ47" s="163"/>
      <c r="BR47" s="163"/>
      <c r="BS47" s="163"/>
      <c r="BT47" s="163"/>
      <c r="BU47" s="163"/>
      <c r="BV47" s="163"/>
    </row>
    <row r="48" spans="1:74" ht="20.100000000000001" customHeight="1" thickBot="1">
      <c r="A48" s="1" t="s">
        <v>247</v>
      </c>
      <c r="B48" s="46"/>
      <c r="C48" s="46"/>
      <c r="D48" s="46"/>
      <c r="E48" s="46"/>
      <c r="F48" s="46"/>
      <c r="G48" s="46"/>
      <c r="H48" s="58"/>
      <c r="I48" s="46"/>
      <c r="J48" s="58"/>
      <c r="K48" s="46"/>
      <c r="L48" s="46"/>
      <c r="M48" s="46"/>
      <c r="N48" s="46"/>
      <c r="O48" s="125">
        <v>0</v>
      </c>
      <c r="P48" s="17"/>
      <c r="Q48" s="17"/>
      <c r="R48" s="17"/>
      <c r="S48" s="59"/>
      <c r="T48" s="46"/>
      <c r="U48" s="46"/>
      <c r="V48" s="46"/>
      <c r="W48" s="58"/>
      <c r="X48" s="46"/>
      <c r="Y48" s="46"/>
      <c r="Z48" s="46"/>
      <c r="AA48" s="46"/>
      <c r="AB48" s="46"/>
      <c r="AC48" s="46"/>
      <c r="AD48" s="46"/>
      <c r="AE48" s="46"/>
      <c r="AF48" s="46"/>
      <c r="AG48" s="46"/>
      <c r="AH48" s="46"/>
      <c r="AI48" s="46"/>
      <c r="AJ48" s="46"/>
      <c r="AK48" s="46"/>
      <c r="AL48" s="46"/>
      <c r="AM48" s="46"/>
      <c r="AN48" s="46"/>
      <c r="AO48" s="46"/>
      <c r="AP48" s="46"/>
      <c r="AQ48" s="26">
        <v>0.54</v>
      </c>
      <c r="AR48" s="56"/>
      <c r="AS48" s="286"/>
      <c r="AT48" s="205"/>
      <c r="AU48" s="206"/>
      <c r="AV48" s="163"/>
      <c r="AW48" s="163"/>
      <c r="AX48" s="163"/>
      <c r="AY48" s="163"/>
      <c r="AZ48" s="163"/>
      <c r="BA48" s="163"/>
      <c r="BB48" s="163"/>
      <c r="BC48" s="163"/>
      <c r="BD48" s="163"/>
      <c r="BE48" s="163"/>
      <c r="BF48" s="163"/>
      <c r="BG48" s="163"/>
      <c r="BH48" s="163"/>
      <c r="BI48" s="163"/>
      <c r="BJ48" s="163"/>
      <c r="BK48" s="163"/>
      <c r="BL48" s="163"/>
      <c r="BM48" s="163"/>
      <c r="BN48" s="163"/>
      <c r="BO48" s="163"/>
      <c r="BP48" s="163"/>
      <c r="BQ48" s="163"/>
      <c r="BR48" s="163"/>
      <c r="BS48" s="163"/>
      <c r="BT48" s="163"/>
      <c r="BU48" s="163"/>
      <c r="BV48" s="163"/>
    </row>
    <row r="49" spans="1:74" ht="20.100000000000001" customHeight="1" thickBot="1">
      <c r="A49" s="163" t="s">
        <v>249</v>
      </c>
      <c r="B49" s="46"/>
      <c r="C49" s="46"/>
      <c r="D49" s="46"/>
      <c r="E49" s="46"/>
      <c r="F49" s="46"/>
      <c r="G49" s="46"/>
      <c r="H49" s="58"/>
      <c r="I49" s="46"/>
      <c r="J49" s="58"/>
      <c r="K49" s="46"/>
      <c r="L49" s="46"/>
      <c r="M49" s="46"/>
      <c r="N49" s="46"/>
      <c r="O49" s="46"/>
      <c r="P49" s="46"/>
      <c r="Q49" s="46"/>
      <c r="R49" s="46"/>
      <c r="S49" s="59"/>
      <c r="T49" s="46"/>
      <c r="U49" s="46"/>
      <c r="V49" s="46"/>
      <c r="W49" s="58"/>
      <c r="X49" s="46"/>
      <c r="Y49" s="46"/>
      <c r="Z49" s="46"/>
      <c r="AA49" s="46"/>
      <c r="AB49" s="46"/>
      <c r="AC49" s="46"/>
      <c r="AD49" s="46"/>
      <c r="AE49" s="46"/>
      <c r="AF49" s="46"/>
      <c r="AG49" s="46"/>
      <c r="AH49" s="46"/>
      <c r="AI49" s="46"/>
      <c r="AJ49" s="46"/>
      <c r="AK49" s="46"/>
      <c r="AL49" s="46"/>
      <c r="AM49" s="46"/>
      <c r="AN49" s="46"/>
      <c r="AO49" s="46"/>
      <c r="AP49" s="46"/>
      <c r="AQ49" s="26">
        <v>0.53</v>
      </c>
      <c r="AR49" s="56"/>
      <c r="AS49" s="286"/>
      <c r="AT49" s="205"/>
      <c r="AU49" s="206"/>
      <c r="AV49" s="163"/>
      <c r="AW49" s="163"/>
      <c r="AX49" s="163"/>
      <c r="AY49" s="163"/>
      <c r="AZ49" s="198" t="str">
        <f>+M1</f>
        <v>Kryddersnaps</v>
      </c>
      <c r="BA49" s="205"/>
      <c r="BB49" s="206"/>
      <c r="BC49" s="163"/>
      <c r="BD49" s="163"/>
      <c r="BE49" s="163"/>
      <c r="BF49" s="163"/>
      <c r="BG49" s="163"/>
      <c r="BH49" s="163"/>
      <c r="BI49" s="163"/>
      <c r="BJ49" s="163"/>
      <c r="BK49" s="163"/>
      <c r="BL49" s="163"/>
      <c r="BM49" s="163"/>
      <c r="BN49" s="163"/>
      <c r="BO49" s="163"/>
      <c r="BP49" s="163"/>
      <c r="BQ49" s="163"/>
      <c r="BR49" s="163"/>
      <c r="BS49" s="163"/>
      <c r="BT49" s="163"/>
      <c r="BU49" s="163"/>
      <c r="BV49" s="163"/>
    </row>
    <row r="50" spans="1:74" ht="20.100000000000001" customHeight="1" thickBot="1">
      <c r="A50" s="76" t="s">
        <v>248</v>
      </c>
      <c r="B50" s="46"/>
      <c r="C50" s="46"/>
      <c r="D50" s="46"/>
      <c r="E50" s="46"/>
      <c r="F50" s="46"/>
      <c r="G50" s="46"/>
      <c r="H50" s="58"/>
      <c r="I50" s="46"/>
      <c r="J50" s="58"/>
      <c r="K50" s="46"/>
      <c r="L50" s="46"/>
      <c r="M50" s="46"/>
      <c r="N50" s="46"/>
      <c r="O50" s="48" t="s">
        <v>71</v>
      </c>
      <c r="P50" s="86"/>
      <c r="Q50" s="50" t="str">
        <f>+O52</f>
        <v>Rønnebær</v>
      </c>
      <c r="R50" s="49" t="s">
        <v>46</v>
      </c>
      <c r="S50" s="59"/>
      <c r="T50" s="46"/>
      <c r="U50" s="46"/>
      <c r="V50" s="46"/>
      <c r="W50" s="58"/>
      <c r="X50" s="46"/>
      <c r="Y50" s="46"/>
      <c r="Z50" s="46"/>
      <c r="AA50" s="46"/>
      <c r="AB50" s="46"/>
      <c r="AC50" s="46"/>
      <c r="AD50" s="46"/>
      <c r="AE50" s="46"/>
      <c r="AF50" s="46"/>
      <c r="AG50" s="46"/>
      <c r="AH50" s="46"/>
      <c r="AI50" s="46"/>
      <c r="AJ50" s="46"/>
      <c r="AK50" s="46"/>
      <c r="AL50" s="46"/>
      <c r="AM50" s="46"/>
      <c r="AN50" s="46"/>
      <c r="AO50" s="46"/>
      <c r="AP50" s="46"/>
      <c r="AQ50" s="26">
        <v>0.52</v>
      </c>
      <c r="AR50" s="56"/>
      <c r="AS50" s="286"/>
      <c r="AT50" s="46" t="str">
        <f>VLOOKUP(AZ49,AZ50:BB53,3)</f>
        <v>Beregning af alkoholprocenten ved 20 °C i en Kryddersnaps  tilsat alkohol, bær og sødemidler.</v>
      </c>
      <c r="AU50" s="206"/>
      <c r="AV50" s="163"/>
      <c r="AW50" s="163"/>
      <c r="AX50" s="163"/>
      <c r="AY50" s="163"/>
      <c r="AZ50" s="218" t="s">
        <v>140</v>
      </c>
      <c r="BA50" s="205"/>
      <c r="BB50" s="226" t="s">
        <v>178</v>
      </c>
      <c r="BC50" s="163"/>
      <c r="BD50" s="163"/>
      <c r="BE50" s="163"/>
      <c r="BF50" s="163"/>
      <c r="BG50" s="163"/>
      <c r="BH50" s="163"/>
      <c r="BI50" s="163"/>
      <c r="BJ50" s="163"/>
      <c r="BK50" s="163"/>
      <c r="BL50" s="81" t="s">
        <v>140</v>
      </c>
      <c r="BM50" s="163"/>
      <c r="BN50" s="163"/>
      <c r="BO50" s="163"/>
      <c r="BP50" s="163"/>
      <c r="BQ50" s="163"/>
      <c r="BR50" s="163"/>
      <c r="BS50" s="163"/>
      <c r="BT50" s="163"/>
      <c r="BU50" s="163"/>
      <c r="BV50" s="163"/>
    </row>
    <row r="51" spans="1:74" ht="20.100000000000001" customHeight="1">
      <c r="A51" s="76" t="s">
        <v>241</v>
      </c>
      <c r="B51" s="46"/>
      <c r="C51" s="46"/>
      <c r="D51" s="46"/>
      <c r="E51" s="46"/>
      <c r="F51" s="46"/>
      <c r="G51" s="46"/>
      <c r="H51" s="58"/>
      <c r="I51" s="46"/>
      <c r="J51" s="58"/>
      <c r="K51" s="46"/>
      <c r="L51" s="46"/>
      <c r="M51" s="46"/>
      <c r="N51" s="46"/>
      <c r="O51" s="88" t="s">
        <v>43</v>
      </c>
      <c r="P51" s="17"/>
      <c r="Q51" s="101" t="str">
        <f>+$V$2</f>
        <v>Gram Vand</v>
      </c>
      <c r="R51" s="115">
        <f>VLOOKUP($Q$50,$S$3:$AO$33,20)</f>
        <v>0</v>
      </c>
      <c r="S51" s="59"/>
      <c r="T51" s="46"/>
      <c r="U51" s="46"/>
      <c r="V51" s="46"/>
      <c r="W51" s="58"/>
      <c r="X51" s="46"/>
      <c r="Y51" s="46"/>
      <c r="Z51" s="46"/>
      <c r="AA51" s="46"/>
      <c r="AB51" s="46"/>
      <c r="AC51" s="46"/>
      <c r="AD51" s="46"/>
      <c r="AE51" s="46"/>
      <c r="AF51" s="46"/>
      <c r="AG51" s="46"/>
      <c r="AH51" s="46"/>
      <c r="AI51" s="46"/>
      <c r="AJ51" s="46"/>
      <c r="AK51" s="46"/>
      <c r="AL51" s="46"/>
      <c r="AM51" s="46"/>
      <c r="AN51" s="46"/>
      <c r="AO51" s="46"/>
      <c r="AP51" s="46"/>
      <c r="AQ51" s="26">
        <v>0.51</v>
      </c>
      <c r="AR51" s="56"/>
      <c r="AS51" s="286"/>
      <c r="AT51" s="205"/>
      <c r="AU51" s="206"/>
      <c r="AV51" s="163"/>
      <c r="AW51" s="163"/>
      <c r="AX51" s="163"/>
      <c r="AY51" s="163"/>
      <c r="AZ51" s="218" t="s">
        <v>161</v>
      </c>
      <c r="BA51" s="205"/>
      <c r="BB51" s="226" t="s">
        <v>179</v>
      </c>
      <c r="BC51" s="163"/>
      <c r="BD51" s="163"/>
      <c r="BE51" s="163"/>
      <c r="BF51" s="163"/>
      <c r="BG51" s="163"/>
      <c r="BH51" s="163"/>
      <c r="BI51" s="163"/>
      <c r="BJ51" s="163"/>
      <c r="BK51" s="163"/>
      <c r="BL51" s="81" t="s">
        <v>140</v>
      </c>
      <c r="BM51" s="163"/>
      <c r="BN51" s="163"/>
      <c r="BO51" s="163"/>
      <c r="BP51" s="163"/>
      <c r="BQ51" s="163"/>
      <c r="BR51" s="163"/>
      <c r="BS51" s="163"/>
      <c r="BT51" s="163"/>
      <c r="BU51" s="163"/>
      <c r="BV51" s="163"/>
    </row>
    <row r="52" spans="1:74" ht="20.100000000000001" customHeight="1" thickBot="1">
      <c r="A52" s="76" t="s">
        <v>258</v>
      </c>
      <c r="B52" s="46"/>
      <c r="C52" s="46"/>
      <c r="D52" s="46"/>
      <c r="E52" s="46"/>
      <c r="F52" s="46"/>
      <c r="G52" s="46"/>
      <c r="H52" s="58"/>
      <c r="I52" s="46"/>
      <c r="J52" s="58"/>
      <c r="K52" s="46"/>
      <c r="L52" s="46"/>
      <c r="M52" s="46"/>
      <c r="N52" s="46"/>
      <c r="O52" s="320" t="s">
        <v>25</v>
      </c>
      <c r="P52" s="71"/>
      <c r="Q52" s="16" t="str">
        <f>+$W$2</f>
        <v>Gram Sukker</v>
      </c>
      <c r="R52" s="72">
        <f>VLOOKUP($Q$50,$S$3:$AO$33,21)</f>
        <v>0</v>
      </c>
      <c r="S52" s="59"/>
      <c r="T52" s="46"/>
      <c r="U52" s="46"/>
      <c r="V52" s="46"/>
      <c r="W52" s="58"/>
      <c r="X52" s="46"/>
      <c r="Y52" s="46"/>
      <c r="Z52" s="46"/>
      <c r="AA52" s="46"/>
      <c r="AB52" s="46"/>
      <c r="AC52" s="46"/>
      <c r="AD52" s="46"/>
      <c r="AE52" s="46"/>
      <c r="AF52" s="46"/>
      <c r="AG52" s="46"/>
      <c r="AH52" s="46"/>
      <c r="AI52" s="46"/>
      <c r="AJ52" s="46"/>
      <c r="AK52" s="46"/>
      <c r="AL52" s="46"/>
      <c r="AM52" s="46"/>
      <c r="AN52" s="46"/>
      <c r="AO52" s="46"/>
      <c r="AP52" s="46"/>
      <c r="AQ52" s="25">
        <v>0.5</v>
      </c>
      <c r="AR52" s="56"/>
      <c r="AS52" s="286"/>
      <c r="AT52" s="46" t="str">
        <f>VLOOKUP(AZ49,AZ50:BL53,13)</f>
        <v>Kryddersnaps</v>
      </c>
      <c r="AU52" s="206"/>
      <c r="AV52" s="163"/>
      <c r="AW52" s="163"/>
      <c r="AX52" s="163"/>
      <c r="AY52" s="163"/>
      <c r="AZ52" s="218" t="s">
        <v>139</v>
      </c>
      <c r="BA52" s="205"/>
      <c r="BB52" s="226" t="s">
        <v>180</v>
      </c>
      <c r="BC52" s="163"/>
      <c r="BD52" s="163"/>
      <c r="BE52" s="163"/>
      <c r="BF52" s="163"/>
      <c r="BG52" s="163"/>
      <c r="BH52" s="163"/>
      <c r="BI52" s="163"/>
      <c r="BJ52" s="163"/>
      <c r="BK52" s="163"/>
      <c r="BL52" s="81" t="s">
        <v>139</v>
      </c>
      <c r="BM52" s="163"/>
      <c r="BN52" s="163"/>
      <c r="BO52" s="163"/>
      <c r="BP52" s="163"/>
      <c r="BQ52" s="163"/>
      <c r="BR52" s="163"/>
      <c r="BS52" s="163"/>
      <c r="BT52" s="163"/>
      <c r="BU52" s="163"/>
      <c r="BV52" s="163"/>
    </row>
    <row r="53" spans="1:74" ht="20.100000000000001" customHeight="1" thickBot="1">
      <c r="A53" s="76"/>
      <c r="B53" s="46"/>
      <c r="C53" s="46"/>
      <c r="D53" s="46"/>
      <c r="E53" s="46"/>
      <c r="F53" s="46"/>
      <c r="G53" s="46"/>
      <c r="H53" s="58"/>
      <c r="I53" s="46"/>
      <c r="J53" s="58"/>
      <c r="K53" s="46"/>
      <c r="L53" s="46"/>
      <c r="M53" s="46"/>
      <c r="N53" s="46"/>
      <c r="O53" s="78" t="s">
        <v>95</v>
      </c>
      <c r="P53" s="46"/>
      <c r="Q53" s="17"/>
      <c r="R53" s="17"/>
      <c r="S53" s="59"/>
      <c r="T53" s="46"/>
      <c r="U53" s="46"/>
      <c r="V53" s="46"/>
      <c r="W53" s="58"/>
      <c r="X53" s="46"/>
      <c r="Y53" s="46"/>
      <c r="Z53" s="46"/>
      <c r="AA53" s="46"/>
      <c r="AB53" s="46"/>
      <c r="AC53" s="46"/>
      <c r="AD53" s="46"/>
      <c r="AE53" s="46"/>
      <c r="AF53" s="46"/>
      <c r="AG53" s="46"/>
      <c r="AH53" s="46"/>
      <c r="AI53" s="46"/>
      <c r="AJ53" s="46"/>
      <c r="AK53" s="46"/>
      <c r="AL53" s="46"/>
      <c r="AM53" s="46"/>
      <c r="AN53" s="46"/>
      <c r="AO53" s="46"/>
      <c r="AP53" s="46"/>
      <c r="AQ53" s="26">
        <v>0.49</v>
      </c>
      <c r="AR53" s="56"/>
      <c r="AS53" s="286"/>
      <c r="AT53" s="205"/>
      <c r="AU53" s="206"/>
      <c r="AV53" s="163"/>
      <c r="AW53" s="163"/>
      <c r="AX53" s="163"/>
      <c r="AY53" s="163"/>
      <c r="AZ53" s="225" t="s">
        <v>177</v>
      </c>
      <c r="BA53" s="205"/>
      <c r="BB53" s="226" t="s">
        <v>181</v>
      </c>
      <c r="BC53" s="163"/>
      <c r="BD53" s="163"/>
      <c r="BE53" s="163"/>
      <c r="BF53" s="163"/>
      <c r="BG53" s="163"/>
      <c r="BH53" s="163"/>
      <c r="BI53" s="163"/>
      <c r="BJ53" s="163"/>
      <c r="BK53" s="163"/>
      <c r="BL53" s="81" t="s">
        <v>139</v>
      </c>
      <c r="BM53" s="163"/>
      <c r="BN53" s="163"/>
      <c r="BO53" s="163"/>
      <c r="BP53" s="163"/>
      <c r="BQ53" s="163"/>
      <c r="BR53" s="163"/>
      <c r="BS53" s="163"/>
      <c r="BT53" s="163"/>
      <c r="BU53" s="163"/>
      <c r="BV53" s="163"/>
    </row>
    <row r="54" spans="1:74" ht="20.100000000000001" customHeight="1" thickBot="1">
      <c r="A54" s="197" t="s">
        <v>151</v>
      </c>
      <c r="B54" s="46"/>
      <c r="C54" s="46"/>
      <c r="D54" s="46"/>
      <c r="E54" s="46"/>
      <c r="F54" s="46"/>
      <c r="G54" s="46"/>
      <c r="H54" s="58"/>
      <c r="I54" s="46"/>
      <c r="J54" s="58"/>
      <c r="K54" s="46"/>
      <c r="L54" s="46"/>
      <c r="M54" s="46"/>
      <c r="N54" s="46"/>
      <c r="O54" s="125">
        <v>0</v>
      </c>
      <c r="P54" s="17"/>
      <c r="Q54" s="17"/>
      <c r="R54" s="17"/>
      <c r="S54" s="59"/>
      <c r="T54" s="46"/>
      <c r="U54" s="46"/>
      <c r="V54" s="46"/>
      <c r="W54" s="58"/>
      <c r="X54" s="46"/>
      <c r="Y54" s="46"/>
      <c r="Z54" s="46"/>
      <c r="AA54" s="46"/>
      <c r="AB54" s="46"/>
      <c r="AC54" s="46"/>
      <c r="AD54" s="46"/>
      <c r="AE54" s="46"/>
      <c r="AF54" s="46"/>
      <c r="AG54" s="46"/>
      <c r="AH54" s="46"/>
      <c r="AI54" s="46"/>
      <c r="AJ54" s="46"/>
      <c r="AK54" s="46"/>
      <c r="AL54" s="46"/>
      <c r="AM54" s="46"/>
      <c r="AN54" s="46"/>
      <c r="AO54" s="46"/>
      <c r="AP54" s="46"/>
      <c r="AQ54" s="26">
        <v>0.48</v>
      </c>
      <c r="AR54" s="56"/>
      <c r="AS54" s="286"/>
      <c r="AT54" s="205"/>
      <c r="AU54" s="206"/>
      <c r="AV54" s="163"/>
      <c r="AW54" s="163"/>
      <c r="AX54" s="163"/>
      <c r="AY54" s="163"/>
      <c r="AZ54" s="163"/>
      <c r="BA54" s="205"/>
      <c r="BB54" s="81"/>
      <c r="BC54" s="163"/>
      <c r="BD54" s="163"/>
      <c r="BE54" s="163"/>
      <c r="BF54" s="163"/>
      <c r="BG54" s="163"/>
      <c r="BH54" s="163"/>
      <c r="BI54" s="163"/>
      <c r="BJ54" s="163"/>
      <c r="BK54" s="163"/>
      <c r="BL54" s="163"/>
      <c r="BM54" s="163"/>
      <c r="BN54" s="163"/>
      <c r="BO54" s="163"/>
      <c r="BP54" s="163"/>
      <c r="BQ54" s="163"/>
      <c r="BR54" s="163"/>
      <c r="BS54" s="163"/>
      <c r="BT54" s="163"/>
      <c r="BU54" s="163"/>
      <c r="BV54" s="163"/>
    </row>
    <row r="55" spans="1:74" ht="20.100000000000001" customHeight="1" thickBot="1">
      <c r="A55" s="76"/>
      <c r="B55" s="46"/>
      <c r="C55" s="46"/>
      <c r="D55" s="46"/>
      <c r="E55" s="46"/>
      <c r="F55" s="46"/>
      <c r="G55" s="46"/>
      <c r="H55" s="58"/>
      <c r="I55" s="46"/>
      <c r="J55" s="58"/>
      <c r="K55" s="46"/>
      <c r="L55" s="46"/>
      <c r="M55" s="46"/>
      <c r="N55" s="46"/>
      <c r="O55" s="46"/>
      <c r="P55" s="46"/>
      <c r="Q55" s="46"/>
      <c r="R55" s="46"/>
      <c r="S55" s="59"/>
      <c r="T55" s="46"/>
      <c r="U55" s="46"/>
      <c r="V55" s="46"/>
      <c r="W55" s="58"/>
      <c r="X55" s="46"/>
      <c r="Y55" s="46"/>
      <c r="Z55" s="46"/>
      <c r="AA55" s="46"/>
      <c r="AB55" s="46"/>
      <c r="AC55" s="46"/>
      <c r="AD55" s="46"/>
      <c r="AE55" s="46"/>
      <c r="AF55" s="46"/>
      <c r="AG55" s="46"/>
      <c r="AH55" s="46"/>
      <c r="AI55" s="46"/>
      <c r="AJ55" s="46"/>
      <c r="AK55" s="46"/>
      <c r="AL55" s="46"/>
      <c r="AM55" s="46"/>
      <c r="AN55" s="46"/>
      <c r="AO55" s="46"/>
      <c r="AP55" s="46"/>
      <c r="AQ55" s="26">
        <v>0.47</v>
      </c>
      <c r="AR55" s="56"/>
      <c r="AS55" s="286"/>
      <c r="AT55" s="205"/>
      <c r="AU55" s="206"/>
      <c r="AV55" s="163"/>
      <c r="AW55" s="163"/>
      <c r="AX55" s="163"/>
      <c r="AY55" s="163"/>
      <c r="AZ55" s="163"/>
      <c r="BA55" s="163"/>
      <c r="BB55" s="81"/>
      <c r="BC55" s="163"/>
      <c r="BD55" s="163"/>
      <c r="BE55" s="163"/>
      <c r="BF55" s="163"/>
      <c r="BG55" s="163"/>
      <c r="BH55" s="163"/>
      <c r="BI55" s="163"/>
      <c r="BJ55" s="163"/>
      <c r="BK55" s="163"/>
      <c r="BL55" s="163"/>
      <c r="BM55" s="163"/>
      <c r="BN55" s="163"/>
      <c r="BO55" s="163"/>
      <c r="BP55" s="163"/>
      <c r="BQ55" s="163"/>
      <c r="BR55" s="163"/>
      <c r="BS55" s="163"/>
      <c r="BT55" s="163"/>
      <c r="BU55" s="163"/>
      <c r="BV55" s="163"/>
    </row>
    <row r="56" spans="1:74" ht="20.100000000000001" customHeight="1" thickBot="1">
      <c r="A56" s="76"/>
      <c r="B56" s="46"/>
      <c r="C56" s="46"/>
      <c r="D56" s="46"/>
      <c r="E56" s="46"/>
      <c r="F56" s="46"/>
      <c r="G56" s="46"/>
      <c r="H56" s="127" t="s">
        <v>7</v>
      </c>
      <c r="I56" s="46"/>
      <c r="J56" s="58"/>
      <c r="K56" s="46"/>
      <c r="L56" s="46"/>
      <c r="M56" s="46"/>
      <c r="N56" s="46"/>
      <c r="O56" s="48" t="s">
        <v>72</v>
      </c>
      <c r="P56" s="86"/>
      <c r="Q56" s="50" t="str">
        <f>+O58</f>
        <v>Æble</v>
      </c>
      <c r="R56" s="49" t="s">
        <v>46</v>
      </c>
      <c r="S56" s="59"/>
      <c r="T56" s="46"/>
      <c r="U56" s="46"/>
      <c r="V56" s="46"/>
      <c r="W56" s="58"/>
      <c r="X56" s="46"/>
      <c r="Y56" s="46"/>
      <c r="Z56" s="46"/>
      <c r="AA56" s="46"/>
      <c r="AB56" s="46"/>
      <c r="AC56" s="46"/>
      <c r="AD56" s="46"/>
      <c r="AE56" s="46"/>
      <c r="AF56" s="46"/>
      <c r="AG56" s="46"/>
      <c r="AH56" s="46"/>
      <c r="AI56" s="46"/>
      <c r="AJ56" s="46"/>
      <c r="AK56" s="46"/>
      <c r="AL56" s="46"/>
      <c r="AM56" s="46"/>
      <c r="AN56" s="46"/>
      <c r="AO56" s="46"/>
      <c r="AP56" s="46"/>
      <c r="AQ56" s="26">
        <v>0.46</v>
      </c>
      <c r="AR56" s="56"/>
      <c r="AS56" s="286"/>
      <c r="AT56" s="205"/>
      <c r="AU56" s="206"/>
      <c r="AV56" s="163"/>
      <c r="AW56" s="163"/>
      <c r="AX56" s="163"/>
      <c r="AY56" s="163"/>
      <c r="AZ56" s="163"/>
      <c r="BA56" s="163"/>
      <c r="BB56" s="81"/>
      <c r="BC56" s="163"/>
      <c r="BD56" s="163"/>
      <c r="BE56" s="163"/>
      <c r="BF56" s="163"/>
      <c r="BG56" s="163"/>
      <c r="BH56" s="163"/>
      <c r="BI56" s="163"/>
      <c r="BJ56" s="163"/>
      <c r="BK56" s="163"/>
      <c r="BL56" s="163"/>
      <c r="BM56" s="163"/>
      <c r="BN56" s="163"/>
      <c r="BO56" s="163"/>
      <c r="BP56" s="163"/>
      <c r="BQ56" s="163"/>
      <c r="BR56" s="163"/>
      <c r="BS56" s="163"/>
      <c r="BT56" s="163"/>
      <c r="BU56" s="163"/>
      <c r="BV56" s="163"/>
    </row>
    <row r="57" spans="1:74" ht="20.100000000000001" customHeight="1">
      <c r="A57" s="76"/>
      <c r="B57" s="46"/>
      <c r="C57" s="46"/>
      <c r="D57" s="46"/>
      <c r="E57" s="46"/>
      <c r="F57" s="46"/>
      <c r="G57" s="46"/>
      <c r="H57" s="128" t="s">
        <v>3</v>
      </c>
      <c r="I57" s="46"/>
      <c r="J57" s="58"/>
      <c r="K57" s="46"/>
      <c r="L57" s="46"/>
      <c r="M57" s="46"/>
      <c r="N57" s="46"/>
      <c r="O57" s="88" t="s">
        <v>43</v>
      </c>
      <c r="P57" s="17"/>
      <c r="Q57" s="101" t="str">
        <f>+$V$2</f>
        <v>Gram Vand</v>
      </c>
      <c r="R57" s="115">
        <f>VLOOKUP($Q$56,$S$3:$AO$33,22)</f>
        <v>0</v>
      </c>
      <c r="S57" s="59"/>
      <c r="T57" s="46"/>
      <c r="U57" s="46"/>
      <c r="V57" s="46"/>
      <c r="W57" s="58"/>
      <c r="X57" s="46"/>
      <c r="Y57" s="46"/>
      <c r="Z57" s="46"/>
      <c r="AA57" s="46"/>
      <c r="AB57" s="46"/>
      <c r="AC57" s="46"/>
      <c r="AD57" s="46"/>
      <c r="AE57" s="46"/>
      <c r="AF57" s="46"/>
      <c r="AG57" s="46"/>
      <c r="AH57" s="46"/>
      <c r="AI57" s="46"/>
      <c r="AJ57" s="46"/>
      <c r="AK57" s="46"/>
      <c r="AL57" s="46"/>
      <c r="AM57" s="46"/>
      <c r="AN57" s="46"/>
      <c r="AO57" s="46"/>
      <c r="AP57" s="46"/>
      <c r="AQ57" s="25">
        <v>0.45</v>
      </c>
      <c r="AR57" s="56"/>
      <c r="AS57" s="286"/>
      <c r="AT57" s="205"/>
      <c r="AU57" s="206"/>
      <c r="AV57" s="163"/>
      <c r="AW57" s="163"/>
      <c r="AX57" s="163"/>
      <c r="AY57" s="163"/>
      <c r="AZ57" s="163"/>
      <c r="BA57" s="163"/>
      <c r="BB57" s="81"/>
      <c r="BC57" s="163"/>
      <c r="BD57" s="163"/>
      <c r="BE57" s="163"/>
      <c r="BF57" s="163"/>
      <c r="BG57" s="163"/>
      <c r="BH57" s="163"/>
      <c r="BI57" s="163"/>
      <c r="BJ57" s="163"/>
      <c r="BK57" s="163"/>
      <c r="BL57" s="163"/>
      <c r="BM57" s="163"/>
      <c r="BN57" s="163"/>
      <c r="BO57" s="163"/>
      <c r="BP57" s="163"/>
      <c r="BQ57" s="163"/>
      <c r="BR57" s="163"/>
      <c r="BS57" s="163"/>
      <c r="BT57" s="163"/>
      <c r="BU57" s="163"/>
      <c r="BV57" s="163"/>
    </row>
    <row r="58" spans="1:74" ht="20.100000000000001" customHeight="1" thickBot="1">
      <c r="A58" s="23" t="s">
        <v>65</v>
      </c>
      <c r="B58" s="46"/>
      <c r="C58" s="46"/>
      <c r="D58" s="46"/>
      <c r="E58" s="46"/>
      <c r="F58" s="46"/>
      <c r="G58" s="46"/>
      <c r="H58" s="129" t="s">
        <v>2</v>
      </c>
      <c r="I58" s="46"/>
      <c r="J58" s="58"/>
      <c r="K58" s="46"/>
      <c r="L58" s="46"/>
      <c r="M58" s="46"/>
      <c r="N58" s="46"/>
      <c r="O58" s="320" t="s">
        <v>35</v>
      </c>
      <c r="P58" s="71"/>
      <c r="Q58" s="16" t="str">
        <f>+$W$2</f>
        <v>Gram Sukker</v>
      </c>
      <c r="R58" s="72">
        <f>VLOOKUP($Q$56,$S$3:$AO$33,23)</f>
        <v>0</v>
      </c>
      <c r="S58" s="59"/>
      <c r="T58" s="46"/>
      <c r="U58" s="46"/>
      <c r="V58" s="46"/>
      <c r="W58" s="58"/>
      <c r="X58" s="46"/>
      <c r="Y58" s="46"/>
      <c r="Z58" s="46"/>
      <c r="AA58" s="46"/>
      <c r="AB58" s="46"/>
      <c r="AC58" s="46"/>
      <c r="AD58" s="46"/>
      <c r="AE58" s="46"/>
      <c r="AF58" s="46"/>
      <c r="AG58" s="46"/>
      <c r="AH58" s="46"/>
      <c r="AI58" s="46"/>
      <c r="AJ58" s="46"/>
      <c r="AK58" s="46"/>
      <c r="AL58" s="46"/>
      <c r="AM58" s="46"/>
      <c r="AN58" s="46"/>
      <c r="AO58" s="46"/>
      <c r="AP58" s="46"/>
      <c r="AQ58" s="26">
        <v>0.44</v>
      </c>
      <c r="AR58" s="56"/>
      <c r="AS58" s="286"/>
      <c r="AT58" s="205"/>
      <c r="AU58" s="206"/>
      <c r="AV58" s="163"/>
      <c r="AW58" s="163"/>
      <c r="AX58" s="163"/>
      <c r="AY58" s="163"/>
      <c r="AZ58" s="163"/>
      <c r="BA58" s="163"/>
      <c r="BB58" s="163"/>
      <c r="BC58" s="163"/>
      <c r="BD58" s="163"/>
      <c r="BE58" s="163"/>
      <c r="BF58" s="163"/>
      <c r="BG58" s="163"/>
      <c r="BH58" s="163"/>
      <c r="BI58" s="163"/>
      <c r="BJ58" s="163"/>
      <c r="BK58" s="163"/>
      <c r="BL58" s="163"/>
      <c r="BM58" s="163"/>
      <c r="BN58" s="163"/>
      <c r="BO58" s="163"/>
      <c r="BP58" s="163"/>
      <c r="BQ58" s="163"/>
      <c r="BR58" s="163"/>
      <c r="BS58" s="163"/>
      <c r="BT58" s="163"/>
      <c r="BU58" s="163"/>
      <c r="BV58" s="163"/>
    </row>
    <row r="59" spans="1:74" ht="20.100000000000001" customHeight="1" thickBot="1">
      <c r="A59" s="23" t="s">
        <v>89</v>
      </c>
      <c r="B59" s="46"/>
      <c r="C59" s="46"/>
      <c r="D59" s="46"/>
      <c r="E59" s="46"/>
      <c r="F59" s="46"/>
      <c r="G59" s="46"/>
      <c r="H59" s="58"/>
      <c r="I59" s="46"/>
      <c r="J59" s="58"/>
      <c r="K59" s="46"/>
      <c r="L59" s="46"/>
      <c r="M59" s="46"/>
      <c r="N59" s="46"/>
      <c r="O59" s="78" t="s">
        <v>95</v>
      </c>
      <c r="P59" s="46"/>
      <c r="Q59" s="17"/>
      <c r="R59" s="17"/>
      <c r="S59" s="59"/>
      <c r="T59" s="46"/>
      <c r="U59" s="46"/>
      <c r="V59" s="46"/>
      <c r="W59" s="58"/>
      <c r="X59" s="46"/>
      <c r="Y59" s="46"/>
      <c r="Z59" s="46"/>
      <c r="AA59" s="46"/>
      <c r="AB59" s="46"/>
      <c r="AC59" s="46"/>
      <c r="AD59" s="46"/>
      <c r="AE59" s="46"/>
      <c r="AF59" s="46"/>
      <c r="AG59" s="46"/>
      <c r="AH59" s="46"/>
      <c r="AI59" s="46"/>
      <c r="AJ59" s="46"/>
      <c r="AK59" s="46"/>
      <c r="AL59" s="46"/>
      <c r="AM59" s="46"/>
      <c r="AN59" s="46"/>
      <c r="AO59" s="46"/>
      <c r="AP59" s="46"/>
      <c r="AQ59" s="26">
        <v>0.43</v>
      </c>
      <c r="AR59" s="56"/>
      <c r="AS59" s="286"/>
      <c r="AT59" s="205"/>
      <c r="AU59" s="206"/>
      <c r="AV59" s="163"/>
      <c r="AW59" s="163"/>
      <c r="AX59" s="163"/>
      <c r="AY59" s="163"/>
      <c r="AZ59" s="163"/>
      <c r="BA59" s="163"/>
      <c r="BB59" s="163"/>
      <c r="BC59" s="163"/>
      <c r="BD59" s="163"/>
      <c r="BE59" s="163"/>
      <c r="BF59" s="163"/>
      <c r="BG59" s="163"/>
      <c r="BH59" s="163"/>
      <c r="BI59" s="163"/>
      <c r="BJ59" s="163"/>
      <c r="BK59" s="163"/>
      <c r="BL59" s="163"/>
      <c r="BM59" s="163"/>
      <c r="BN59" s="163"/>
      <c r="BO59" s="163"/>
      <c r="BP59" s="163"/>
      <c r="BQ59" s="163"/>
      <c r="BR59" s="163"/>
      <c r="BS59" s="163"/>
      <c r="BT59" s="163"/>
      <c r="BU59" s="163"/>
      <c r="BV59" s="163"/>
    </row>
    <row r="60" spans="1:74" ht="20.100000000000001" customHeight="1" thickBot="1">
      <c r="A60" s="216" t="s">
        <v>169</v>
      </c>
      <c r="B60" s="46"/>
      <c r="C60" s="46"/>
      <c r="D60" s="46"/>
      <c r="E60" s="46"/>
      <c r="F60" s="46"/>
      <c r="G60" s="46"/>
      <c r="H60" s="58"/>
      <c r="I60" s="46"/>
      <c r="J60" s="58"/>
      <c r="K60" s="46"/>
      <c r="L60" s="46"/>
      <c r="M60" s="46"/>
      <c r="N60" s="46"/>
      <c r="O60" s="125">
        <v>0</v>
      </c>
      <c r="P60" s="17"/>
      <c r="Q60" s="101" t="str">
        <f>+$V$2</f>
        <v>Gram Vand</v>
      </c>
      <c r="R60" s="259">
        <f>+R3+R9+R15+R21+R27+R33+R39+R45+R51+R57</f>
        <v>214.75</v>
      </c>
      <c r="S60" s="339" t="s">
        <v>234</v>
      </c>
      <c r="T60" s="340"/>
      <c r="U60" s="340"/>
      <c r="V60" s="340"/>
      <c r="W60" s="340"/>
      <c r="X60" s="340"/>
      <c r="Y60" s="340"/>
      <c r="Z60" s="340"/>
      <c r="AA60" s="340"/>
      <c r="AB60" s="340"/>
      <c r="AC60" s="340"/>
      <c r="AD60" s="340"/>
      <c r="AE60" s="340"/>
      <c r="AF60" s="340"/>
      <c r="AG60" s="340"/>
      <c r="AH60" s="340"/>
      <c r="AI60" s="340"/>
      <c r="AJ60" s="340"/>
      <c r="AK60" s="340"/>
      <c r="AL60" s="340"/>
      <c r="AM60" s="340"/>
      <c r="AN60" s="340"/>
      <c r="AO60" s="340"/>
      <c r="AP60" s="341"/>
      <c r="AQ60" s="26">
        <v>0.42</v>
      </c>
      <c r="AR60" s="56"/>
      <c r="AS60" s="286"/>
      <c r="AT60" s="205"/>
      <c r="AU60" s="206"/>
      <c r="AV60" s="163"/>
      <c r="AW60" s="163"/>
      <c r="AX60" s="163"/>
      <c r="AY60" s="163"/>
      <c r="AZ60" s="163"/>
      <c r="BA60" s="163"/>
      <c r="BB60" s="163"/>
      <c r="BC60" s="163"/>
      <c r="BD60" s="163"/>
      <c r="BE60" s="163"/>
      <c r="BF60" s="163"/>
      <c r="BG60" s="163"/>
      <c r="BH60" s="163"/>
      <c r="BI60" s="163"/>
      <c r="BJ60" s="163"/>
      <c r="BK60" s="163"/>
      <c r="BL60" s="163"/>
      <c r="BM60" s="163"/>
      <c r="BN60" s="163"/>
      <c r="BO60" s="163"/>
      <c r="BP60" s="163"/>
      <c r="BQ60" s="163"/>
      <c r="BR60" s="163"/>
      <c r="BS60" s="163"/>
      <c r="BT60" s="163"/>
      <c r="BU60" s="163"/>
      <c r="BV60" s="163"/>
    </row>
    <row r="61" spans="1:74" ht="20.100000000000001" customHeight="1" thickBot="1">
      <c r="A61" s="217" t="s">
        <v>170</v>
      </c>
      <c r="B61" s="46"/>
      <c r="C61" s="46"/>
      <c r="D61" s="46"/>
      <c r="E61" s="46"/>
      <c r="F61" s="46"/>
      <c r="G61" s="46"/>
      <c r="H61" s="58"/>
      <c r="I61" s="46"/>
      <c r="J61" s="58"/>
      <c r="K61" s="46"/>
      <c r="L61" s="46"/>
      <c r="M61" s="46"/>
      <c r="N61" s="46"/>
      <c r="O61" s="46"/>
      <c r="P61" s="46"/>
      <c r="Q61" s="16" t="str">
        <f>+$W$2</f>
        <v>Gram Sukker</v>
      </c>
      <c r="R61" s="260">
        <f>+R4+R10+R16+R22+R28+R34+R40+R46+R52+R58</f>
        <v>17.25</v>
      </c>
      <c r="S61" s="339"/>
      <c r="T61" s="340"/>
      <c r="U61" s="340"/>
      <c r="V61" s="340"/>
      <c r="W61" s="340"/>
      <c r="X61" s="340"/>
      <c r="Y61" s="340"/>
      <c r="Z61" s="340"/>
      <c r="AA61" s="340"/>
      <c r="AB61" s="340"/>
      <c r="AC61" s="340"/>
      <c r="AD61" s="340"/>
      <c r="AE61" s="340"/>
      <c r="AF61" s="340"/>
      <c r="AG61" s="340"/>
      <c r="AH61" s="340"/>
      <c r="AI61" s="340"/>
      <c r="AJ61" s="340"/>
      <c r="AK61" s="340"/>
      <c r="AL61" s="340"/>
      <c r="AM61" s="340"/>
      <c r="AN61" s="340"/>
      <c r="AO61" s="340"/>
      <c r="AP61" s="341"/>
      <c r="AQ61" s="26">
        <v>0.41</v>
      </c>
      <c r="AR61" s="56"/>
      <c r="AS61" s="286"/>
      <c r="AT61" s="205"/>
      <c r="AU61" s="206"/>
      <c r="AV61" s="163"/>
      <c r="AW61" s="163"/>
      <c r="AX61" s="163"/>
      <c r="AY61" s="163"/>
      <c r="AZ61" s="163"/>
      <c r="BA61" s="163"/>
      <c r="BB61" s="163"/>
      <c r="BC61" s="163"/>
      <c r="BD61" s="163"/>
      <c r="BE61" s="163"/>
      <c r="BF61" s="163"/>
      <c r="BG61" s="163"/>
      <c r="BH61" s="163"/>
      <c r="BI61" s="163"/>
      <c r="BJ61" s="163"/>
      <c r="BK61" s="163"/>
      <c r="BL61" s="163"/>
      <c r="BM61" s="163"/>
      <c r="BN61" s="163"/>
      <c r="BO61" s="163"/>
      <c r="BP61" s="163"/>
      <c r="BQ61" s="163"/>
      <c r="BR61" s="163"/>
      <c r="BS61" s="163"/>
      <c r="BT61" s="163"/>
      <c r="BU61" s="163"/>
      <c r="BV61" s="163"/>
    </row>
    <row r="62" spans="1:74" ht="20.100000000000001" customHeight="1">
      <c r="A62" s="23" t="s">
        <v>216</v>
      </c>
      <c r="B62" s="46"/>
      <c r="C62" s="46"/>
      <c r="D62" s="46"/>
      <c r="E62" s="46"/>
      <c r="F62" s="46"/>
      <c r="G62" s="46"/>
      <c r="H62" s="179"/>
      <c r="I62" s="46"/>
      <c r="J62" s="58"/>
      <c r="K62" s="46"/>
      <c r="L62" s="46"/>
      <c r="M62" s="215" t="s">
        <v>110</v>
      </c>
      <c r="N62" s="47"/>
      <c r="O62" s="143">
        <f>+O6+O12+O18+O24+O30+O36+O42+O48+O54+O60</f>
        <v>250</v>
      </c>
      <c r="P62" s="47"/>
      <c r="Q62" s="413" t="s">
        <v>147</v>
      </c>
      <c r="R62" s="414"/>
      <c r="S62" s="59"/>
      <c r="T62" s="46"/>
      <c r="U62" s="46"/>
      <c r="V62" s="46"/>
      <c r="W62" s="58"/>
      <c r="X62" s="46"/>
      <c r="Y62" s="46"/>
      <c r="Z62" s="46"/>
      <c r="AA62" s="46"/>
      <c r="AB62" s="46"/>
      <c r="AC62" s="46"/>
      <c r="AD62" s="46"/>
      <c r="AE62" s="46"/>
      <c r="AF62" s="46"/>
      <c r="AG62" s="46"/>
      <c r="AH62" s="46"/>
      <c r="AI62" s="46"/>
      <c r="AJ62" s="46"/>
      <c r="AK62" s="46"/>
      <c r="AL62" s="46"/>
      <c r="AM62" s="46"/>
      <c r="AN62" s="46"/>
      <c r="AO62" s="46"/>
      <c r="AP62" s="46"/>
      <c r="AQ62" s="25">
        <v>0.4</v>
      </c>
      <c r="AR62" s="56"/>
      <c r="AS62" s="286"/>
      <c r="AT62" s="205"/>
      <c r="AU62" s="206"/>
      <c r="AV62" s="163"/>
      <c r="AW62" s="163"/>
      <c r="AX62" s="163"/>
      <c r="AY62" s="163"/>
      <c r="AZ62" s="163"/>
      <c r="BA62" s="163"/>
      <c r="BB62" s="163"/>
      <c r="BC62" s="163"/>
      <c r="BD62" s="163"/>
      <c r="BE62" s="163"/>
      <c r="BF62" s="163"/>
      <c r="BG62" s="163"/>
      <c r="BH62" s="163"/>
      <c r="BI62" s="163"/>
      <c r="BJ62" s="163"/>
      <c r="BK62" s="163"/>
      <c r="BL62" s="163"/>
      <c r="BM62" s="163"/>
      <c r="BN62" s="163"/>
      <c r="BO62" s="163"/>
      <c r="BP62" s="163"/>
      <c r="BQ62" s="163"/>
      <c r="BR62" s="163"/>
      <c r="BS62" s="163"/>
      <c r="BT62" s="163"/>
      <c r="BU62" s="163"/>
      <c r="BV62" s="163"/>
    </row>
    <row r="63" spans="1:74" ht="20.100000000000001" customHeight="1" thickBot="1">
      <c r="A63" s="117" t="s">
        <v>1</v>
      </c>
      <c r="B63" s="118"/>
      <c r="C63" s="118"/>
      <c r="D63" s="118"/>
      <c r="E63" s="118"/>
      <c r="F63" s="118"/>
      <c r="G63" s="118"/>
      <c r="H63" s="419" t="s">
        <v>260</v>
      </c>
      <c r="I63" s="419"/>
      <c r="J63" s="419"/>
      <c r="K63" s="118"/>
      <c r="L63" s="118"/>
      <c r="M63" s="118"/>
      <c r="N63" s="118"/>
      <c r="O63" s="118"/>
      <c r="P63" s="118"/>
      <c r="Q63" s="118"/>
      <c r="R63" s="118" t="s">
        <v>74</v>
      </c>
      <c r="S63" s="120"/>
      <c r="T63" s="118"/>
      <c r="U63" s="118"/>
      <c r="V63" s="118"/>
      <c r="W63" s="119"/>
      <c r="X63" s="118"/>
      <c r="Y63" s="118"/>
      <c r="Z63" s="118"/>
      <c r="AA63" s="118"/>
      <c r="AB63" s="118"/>
      <c r="AC63" s="118"/>
      <c r="AD63" s="118"/>
      <c r="AE63" s="118"/>
      <c r="AF63" s="118"/>
      <c r="AG63" s="118"/>
      <c r="AH63" s="118"/>
      <c r="AI63" s="118"/>
      <c r="AJ63" s="118"/>
      <c r="AK63" s="118"/>
      <c r="AL63" s="118"/>
      <c r="AM63" s="118"/>
      <c r="AN63" s="118"/>
      <c r="AO63" s="118"/>
      <c r="AP63" s="118"/>
      <c r="AQ63" s="118"/>
      <c r="AR63" s="121"/>
      <c r="AS63" s="286"/>
      <c r="AT63" s="205"/>
      <c r="AU63" s="206"/>
      <c r="AV63" s="163"/>
      <c r="AW63" s="163"/>
      <c r="AX63" s="163"/>
      <c r="AY63" s="163"/>
      <c r="AZ63" s="163"/>
      <c r="BA63" s="163"/>
      <c r="BB63" s="163"/>
      <c r="BC63" s="163"/>
      <c r="BD63" s="163"/>
      <c r="BE63" s="163"/>
      <c r="BF63" s="163"/>
      <c r="BG63" s="163"/>
      <c r="BH63" s="163"/>
      <c r="BI63" s="163"/>
      <c r="BJ63" s="163"/>
      <c r="BK63" s="163"/>
      <c r="BL63" s="163"/>
      <c r="BM63" s="163"/>
      <c r="BN63" s="163"/>
      <c r="BO63" s="163"/>
      <c r="BP63" s="163"/>
      <c r="BQ63" s="163"/>
      <c r="BR63" s="163"/>
      <c r="BS63" s="163"/>
      <c r="BT63" s="163"/>
      <c r="BU63" s="163"/>
      <c r="BV63" s="163"/>
    </row>
    <row r="64" spans="1:74" ht="21">
      <c r="A64" s="324" t="s">
        <v>168</v>
      </c>
    </row>
    <row r="65" spans="1:13">
      <c r="A65" s="156" t="s">
        <v>4</v>
      </c>
    </row>
    <row r="66" spans="1:13">
      <c r="A66" s="156" t="s">
        <v>5</v>
      </c>
    </row>
    <row r="67" spans="1:13">
      <c r="A67" s="156" t="s">
        <v>166</v>
      </c>
    </row>
    <row r="68" spans="1:13">
      <c r="A68" s="156" t="s">
        <v>167</v>
      </c>
    </row>
    <row r="69" spans="1:13">
      <c r="A69" s="160" t="s">
        <v>229</v>
      </c>
    </row>
    <row r="71" spans="1:13">
      <c r="A71" s="266" t="s">
        <v>226</v>
      </c>
      <c r="M71" s="271"/>
    </row>
    <row r="72" spans="1:13">
      <c r="A72" s="266" t="s">
        <v>227</v>
      </c>
    </row>
    <row r="73" spans="1:13">
      <c r="A73" s="173" t="s">
        <v>124</v>
      </c>
    </row>
    <row r="74" spans="1:13">
      <c r="A74" s="174" t="s">
        <v>125</v>
      </c>
    </row>
    <row r="75" spans="1:13">
      <c r="A75" s="174" t="s">
        <v>240</v>
      </c>
    </row>
    <row r="76" spans="1:13">
      <c r="A76" s="146" t="s">
        <v>126</v>
      </c>
    </row>
    <row r="78" spans="1:13" ht="21">
      <c r="A78" s="321" t="s">
        <v>250</v>
      </c>
    </row>
    <row r="79" spans="1:13" ht="21">
      <c r="A79" s="2" t="s">
        <v>251</v>
      </c>
      <c r="I79" s="323">
        <f>+B17</f>
        <v>882</v>
      </c>
      <c r="J79" s="122" t="s">
        <v>253</v>
      </c>
    </row>
    <row r="80" spans="1:13">
      <c r="A80" s="2" t="s">
        <v>256</v>
      </c>
    </row>
    <row r="82" spans="1:10" ht="21">
      <c r="A82" s="321" t="s">
        <v>261</v>
      </c>
    </row>
    <row r="83" spans="1:10" ht="21">
      <c r="A83" s="2" t="s">
        <v>252</v>
      </c>
      <c r="I83" s="322">
        <f>+B17</f>
        <v>882</v>
      </c>
      <c r="J83" s="122" t="s">
        <v>254</v>
      </c>
    </row>
    <row r="84" spans="1:10">
      <c r="A84" s="2" t="s">
        <v>257</v>
      </c>
    </row>
    <row r="86" spans="1:10" ht="21">
      <c r="A86" s="2" t="s">
        <v>255</v>
      </c>
    </row>
    <row r="87" spans="1:10">
      <c r="A87" s="2" t="s">
        <v>262</v>
      </c>
    </row>
    <row r="88" spans="1:10">
      <c r="A88" s="2" t="s">
        <v>263</v>
      </c>
    </row>
  </sheetData>
  <sheetProtection password="D5AA" sheet="1" objects="1" scenarios="1"/>
  <sortState ref="BM31:BM34">
    <sortCondition ref="BM31:BM34"/>
  </sortState>
  <dataConsolidate/>
  <mergeCells count="70">
    <mergeCell ref="L20:M20"/>
    <mergeCell ref="L19:M19"/>
    <mergeCell ref="BB29:BC29"/>
    <mergeCell ref="BA15:BK15"/>
    <mergeCell ref="BI19:BJ19"/>
    <mergeCell ref="AR12:AR32"/>
    <mergeCell ref="BJ32:BK32"/>
    <mergeCell ref="H63:J63"/>
    <mergeCell ref="K40:N40"/>
    <mergeCell ref="K36:N36"/>
    <mergeCell ref="G40:J40"/>
    <mergeCell ref="K41:N41"/>
    <mergeCell ref="G42:J42"/>
    <mergeCell ref="K39:N39"/>
    <mergeCell ref="F43:K43"/>
    <mergeCell ref="Q62:R62"/>
    <mergeCell ref="M29:N29"/>
    <mergeCell ref="G35:H35"/>
    <mergeCell ref="G23:I23"/>
    <mergeCell ref="J23:K25"/>
    <mergeCell ref="T1:T2"/>
    <mergeCell ref="AS1:AU1"/>
    <mergeCell ref="AX2:AY2"/>
    <mergeCell ref="U1:U2"/>
    <mergeCell ref="BB27:BC27"/>
    <mergeCell ref="S1:S2"/>
    <mergeCell ref="O1:R1"/>
    <mergeCell ref="L9:M9"/>
    <mergeCell ref="G2:H2"/>
    <mergeCell ref="BH11:BK11"/>
    <mergeCell ref="Q5:R7"/>
    <mergeCell ref="B1:K1"/>
    <mergeCell ref="BD3:BE3"/>
    <mergeCell ref="BB6:BC6"/>
    <mergeCell ref="BF11:BG11"/>
    <mergeCell ref="AR1:AR10"/>
    <mergeCell ref="L2:M2"/>
    <mergeCell ref="L8:M8"/>
    <mergeCell ref="M6:N6"/>
    <mergeCell ref="L7:N7"/>
    <mergeCell ref="AW1:AY1"/>
    <mergeCell ref="C31:D31"/>
    <mergeCell ref="A21:E21"/>
    <mergeCell ref="E31:F31"/>
    <mergeCell ref="A32:F32"/>
    <mergeCell ref="A2:B2"/>
    <mergeCell ref="A12:E12"/>
    <mergeCell ref="A15:E15"/>
    <mergeCell ref="D17:E17"/>
    <mergeCell ref="D18:E18"/>
    <mergeCell ref="A16:E16"/>
    <mergeCell ref="A14:E14"/>
    <mergeCell ref="D19:E19"/>
    <mergeCell ref="F4:F5"/>
    <mergeCell ref="BA46:BK47"/>
    <mergeCell ref="S60:AP61"/>
    <mergeCell ref="BC9:BK9"/>
    <mergeCell ref="AX7:AY7"/>
    <mergeCell ref="BF7:BG7"/>
    <mergeCell ref="BA11:BE11"/>
    <mergeCell ref="BA19:BE19"/>
    <mergeCell ref="BF19:BH19"/>
    <mergeCell ref="BA31:BH31"/>
    <mergeCell ref="BI20:BJ20"/>
    <mergeCell ref="BI22:BJ22"/>
    <mergeCell ref="BF25:BK25"/>
    <mergeCell ref="BG27:BK29"/>
    <mergeCell ref="AR34:AR43"/>
    <mergeCell ref="BC35:BD35"/>
    <mergeCell ref="BI23:BJ23"/>
  </mergeCells>
  <dataValidations count="5">
    <dataValidation type="list" allowBlank="1" showInputMessage="1" showErrorMessage="1" sqref="A3:A4">
      <formula1>$AT$3:$AT$20</formula1>
    </dataValidation>
    <dataValidation type="list" allowBlank="1" showInputMessage="1" showErrorMessage="1" errorTitle="Efficiency button" error="Outside normal range" promptTitle="Efficiency button" prompt="Normal range from 90% to 70%" sqref="B23">
      <formula1>$AQ$2:$AQ$62</formula1>
    </dataValidation>
    <dataValidation type="list" allowBlank="1" showInputMessage="1" showErrorMessage="1" sqref="O4 O58 O52 O46 O40 O34 O28 O22 O16 O10">
      <formula1>$S$3:$S$33</formula1>
    </dataValidation>
    <dataValidation type="list" allowBlank="1" showInputMessage="1" showErrorMessage="1" sqref="M1">
      <formula1>$AV$3:$AV$6</formula1>
    </dataValidation>
    <dataValidation type="list" allowBlank="1" showInputMessage="1" showErrorMessage="1" sqref="F3">
      <formula1>$AT$23:$AT$43</formula1>
    </dataValidation>
  </dataValidations>
  <hyperlinks>
    <hyperlink ref="A58" r:id="rId1"/>
    <hyperlink ref="A59" r:id="rId2"/>
    <hyperlink ref="H57" r:id="rId3"/>
    <hyperlink ref="BA4" r:id="rId4"/>
    <hyperlink ref="A60" r:id="rId5"/>
    <hyperlink ref="A61" r:id="rId6" location=":~:text=If%20abv%20is%20the%20alcohol-by-volume%20value%20expressed%20as%20a%20number "/>
    <hyperlink ref="A62" r:id="rId7"/>
  </hyperlinks>
  <printOptions horizontalCentered="1" verticalCentered="1"/>
  <pageMargins left="0.70866141732283472" right="0" top="0.19685039370078741" bottom="0.19685039370078741" header="0" footer="0"/>
  <pageSetup paperSize="9" scale="77" orientation="portrait" r:id="rId8"/>
  <headerFooter>
    <oddFooter>&amp;C&amp;F</oddFooter>
  </headerFooter>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Let</vt:lpstr>
      <vt:lpstr>Let!Udskriftsområde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Jørgen Walter</dc:creator>
  <cp:lastModifiedBy>Walter</cp:lastModifiedBy>
  <cp:lastPrinted>2024-12-17T08:38:46Z</cp:lastPrinted>
  <dcterms:created xsi:type="dcterms:W3CDTF">2013-11-02T12:56:31Z</dcterms:created>
  <dcterms:modified xsi:type="dcterms:W3CDTF">2025-01-20T14:19:00Z</dcterms:modified>
</cp:coreProperties>
</file>