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30" windowWidth="20100" windowHeight="9810"/>
  </bookViews>
  <sheets>
    <sheet name="Fermentation" sheetId="1" r:id="rId1"/>
    <sheet name="Most Skema" sheetId="2" r:id="rId2"/>
    <sheet name="Data" sheetId="4" r:id="rId3"/>
  </sheets>
  <calcPr calcId="125725"/>
</workbook>
</file>

<file path=xl/calcChain.xml><?xml version="1.0" encoding="utf-8"?>
<calcChain xmlns="http://schemas.openxmlformats.org/spreadsheetml/2006/main">
  <c r="P18" i="1"/>
  <c r="T18"/>
  <c r="R32"/>
  <c r="R31"/>
  <c r="R30"/>
  <c r="R29"/>
  <c r="R28"/>
  <c r="R27"/>
  <c r="R26"/>
  <c r="R25"/>
  <c r="R24"/>
  <c r="R23"/>
  <c r="R22"/>
  <c r="R21"/>
  <c r="R20"/>
  <c r="R19"/>
  <c r="A114"/>
  <c r="A116" s="1"/>
  <c r="F17" i="4"/>
  <c r="H16"/>
  <c r="A2" i="1"/>
  <c r="A4"/>
  <c r="K31" i="2"/>
  <c r="K29"/>
  <c r="K20"/>
  <c r="K8"/>
  <c r="Q6"/>
  <c r="X29"/>
  <c r="O2" s="1"/>
  <c r="G34"/>
  <c r="F34"/>
  <c r="I34" s="1"/>
  <c r="F33"/>
  <c r="L33" s="1"/>
  <c r="I32"/>
  <c r="H32"/>
  <c r="J32" s="1"/>
  <c r="K32" s="1"/>
  <c r="F32"/>
  <c r="G32" s="1"/>
  <c r="L31"/>
  <c r="H31"/>
  <c r="J31" s="1"/>
  <c r="F31"/>
  <c r="M31" s="1"/>
  <c r="G30"/>
  <c r="F30"/>
  <c r="M30" s="1"/>
  <c r="F29"/>
  <c r="H29" s="1"/>
  <c r="J29" s="1"/>
  <c r="I28"/>
  <c r="H28"/>
  <c r="J28" s="1"/>
  <c r="K28" s="1"/>
  <c r="G28"/>
  <c r="F28"/>
  <c r="L28" s="1"/>
  <c r="M27"/>
  <c r="L27"/>
  <c r="H27"/>
  <c r="J27" s="1"/>
  <c r="K27" s="1"/>
  <c r="G27"/>
  <c r="F27"/>
  <c r="F26"/>
  <c r="I26" s="1"/>
  <c r="F25"/>
  <c r="L25" s="1"/>
  <c r="M24"/>
  <c r="L24"/>
  <c r="I24"/>
  <c r="H24"/>
  <c r="J24" s="1"/>
  <c r="K24" s="1"/>
  <c r="F24"/>
  <c r="G24" s="1"/>
  <c r="L23"/>
  <c r="H23"/>
  <c r="J23" s="1"/>
  <c r="K23" s="1"/>
  <c r="G23"/>
  <c r="F23"/>
  <c r="M23" s="1"/>
  <c r="F22"/>
  <c r="M22" s="1"/>
  <c r="F21"/>
  <c r="H21" s="1"/>
  <c r="J21" s="1"/>
  <c r="K21" s="1"/>
  <c r="M20"/>
  <c r="L20"/>
  <c r="I20"/>
  <c r="H20"/>
  <c r="J20" s="1"/>
  <c r="G20"/>
  <c r="F20"/>
  <c r="M19"/>
  <c r="L19"/>
  <c r="F19"/>
  <c r="G19" s="1"/>
  <c r="F18"/>
  <c r="I18" s="1"/>
  <c r="F17"/>
  <c r="L17" s="1"/>
  <c r="M16"/>
  <c r="L16"/>
  <c r="I16"/>
  <c r="F16"/>
  <c r="G16" s="1"/>
  <c r="L15"/>
  <c r="F15"/>
  <c r="M15" s="1"/>
  <c r="F14"/>
  <c r="M14" s="1"/>
  <c r="F13"/>
  <c r="H13" s="1"/>
  <c r="J13" s="1"/>
  <c r="K13" s="1"/>
  <c r="M12"/>
  <c r="L12"/>
  <c r="I12"/>
  <c r="G12"/>
  <c r="F12"/>
  <c r="H12" s="1"/>
  <c r="J12" s="1"/>
  <c r="K12" s="1"/>
  <c r="F11"/>
  <c r="G11" s="1"/>
  <c r="G10"/>
  <c r="F10"/>
  <c r="I10" s="1"/>
  <c r="F9"/>
  <c r="L9" s="1"/>
  <c r="M8"/>
  <c r="L8"/>
  <c r="I8"/>
  <c r="H8"/>
  <c r="J8" s="1"/>
  <c r="F8"/>
  <c r="G8" s="1"/>
  <c r="F7"/>
  <c r="M7" s="1"/>
  <c r="G6"/>
  <c r="F6"/>
  <c r="M6" s="1"/>
  <c r="F5"/>
  <c r="H5" s="1"/>
  <c r="J5" s="1"/>
  <c r="K5" s="1"/>
  <c r="F155"/>
  <c r="I155" s="1"/>
  <c r="F154"/>
  <c r="L154" s="1"/>
  <c r="F153"/>
  <c r="G153" s="1"/>
  <c r="G154" l="1"/>
  <c r="H16"/>
  <c r="J16" s="1"/>
  <c r="K16" s="1"/>
  <c r="G31"/>
  <c r="H19"/>
  <c r="J19" s="1"/>
  <c r="K19" s="1"/>
  <c r="M11"/>
  <c r="H15"/>
  <c r="J15" s="1"/>
  <c r="K15" s="1"/>
  <c r="L7"/>
  <c r="L11"/>
  <c r="G15"/>
  <c r="G22"/>
  <c r="G26"/>
  <c r="M28"/>
  <c r="H7"/>
  <c r="J7" s="1"/>
  <c r="K7" s="1"/>
  <c r="H11"/>
  <c r="J11" s="1"/>
  <c r="K11" s="1"/>
  <c r="M32"/>
  <c r="G7"/>
  <c r="G14"/>
  <c r="G18"/>
  <c r="L32"/>
  <c r="R33" i="1"/>
  <c r="P16" s="1"/>
  <c r="A115"/>
  <c r="N28" i="2"/>
  <c r="P28" s="1"/>
  <c r="N20"/>
  <c r="P20" s="1"/>
  <c r="N12"/>
  <c r="P12" s="1"/>
  <c r="N25"/>
  <c r="P25" s="1"/>
  <c r="M9"/>
  <c r="M17"/>
  <c r="I21"/>
  <c r="N21" s="1"/>
  <c r="P21" s="1"/>
  <c r="M33"/>
  <c r="G5"/>
  <c r="L6"/>
  <c r="I7"/>
  <c r="N7" s="1"/>
  <c r="P7" s="1"/>
  <c r="N8"/>
  <c r="P8" s="1"/>
  <c r="H10"/>
  <c r="J10" s="1"/>
  <c r="K10" s="1"/>
  <c r="G13"/>
  <c r="L14"/>
  <c r="I15"/>
  <c r="N15" s="1"/>
  <c r="P15" s="1"/>
  <c r="N16"/>
  <c r="P16" s="1"/>
  <c r="H18"/>
  <c r="J18" s="1"/>
  <c r="K18" s="1"/>
  <c r="G21"/>
  <c r="L22"/>
  <c r="I23"/>
  <c r="N23" s="1"/>
  <c r="P23" s="1"/>
  <c r="N24"/>
  <c r="P24" s="1"/>
  <c r="H26"/>
  <c r="J26" s="1"/>
  <c r="K26" s="1"/>
  <c r="G29"/>
  <c r="L30"/>
  <c r="I31"/>
  <c r="N31" s="1"/>
  <c r="P31" s="1"/>
  <c r="N32"/>
  <c r="P32" s="1"/>
  <c r="H34"/>
  <c r="J34" s="1"/>
  <c r="K34" s="1"/>
  <c r="M5"/>
  <c r="I9"/>
  <c r="N9" s="1"/>
  <c r="P9" s="1"/>
  <c r="N10"/>
  <c r="P10" s="1"/>
  <c r="M13"/>
  <c r="I17"/>
  <c r="N17" s="1"/>
  <c r="P17" s="1"/>
  <c r="N18"/>
  <c r="P18" s="1"/>
  <c r="M21"/>
  <c r="I25"/>
  <c r="N26"/>
  <c r="P26" s="1"/>
  <c r="M29"/>
  <c r="I33"/>
  <c r="N33" s="1"/>
  <c r="P33" s="1"/>
  <c r="N34"/>
  <c r="P34" s="1"/>
  <c r="L5"/>
  <c r="I6"/>
  <c r="N6" s="1"/>
  <c r="P6" s="1"/>
  <c r="H9"/>
  <c r="J9" s="1"/>
  <c r="K9" s="1"/>
  <c r="M10"/>
  <c r="L13"/>
  <c r="I14"/>
  <c r="N14" s="1"/>
  <c r="P14" s="1"/>
  <c r="H17"/>
  <c r="J17" s="1"/>
  <c r="K17" s="1"/>
  <c r="M18"/>
  <c r="L21"/>
  <c r="I22"/>
  <c r="H25"/>
  <c r="J25" s="1"/>
  <c r="K25" s="1"/>
  <c r="M26"/>
  <c r="L29"/>
  <c r="I30"/>
  <c r="N30" s="1"/>
  <c r="P30" s="1"/>
  <c r="H33"/>
  <c r="J33" s="1"/>
  <c r="K33" s="1"/>
  <c r="M34"/>
  <c r="H6"/>
  <c r="J6" s="1"/>
  <c r="K6" s="1"/>
  <c r="G9"/>
  <c r="L10"/>
  <c r="I11"/>
  <c r="N11" s="1"/>
  <c r="P11" s="1"/>
  <c r="H14"/>
  <c r="J14" s="1"/>
  <c r="K14" s="1"/>
  <c r="G17"/>
  <c r="L18"/>
  <c r="I19"/>
  <c r="N19" s="1"/>
  <c r="P19" s="1"/>
  <c r="H22"/>
  <c r="J22" s="1"/>
  <c r="K22" s="1"/>
  <c r="G25"/>
  <c r="L26"/>
  <c r="I27"/>
  <c r="N27" s="1"/>
  <c r="P27" s="1"/>
  <c r="H30"/>
  <c r="J30" s="1"/>
  <c r="K30" s="1"/>
  <c r="G33"/>
  <c r="L34"/>
  <c r="I5"/>
  <c r="N5" s="1"/>
  <c r="P5" s="1"/>
  <c r="I13"/>
  <c r="N13" s="1"/>
  <c r="P13" s="1"/>
  <c r="N22"/>
  <c r="P22" s="1"/>
  <c r="M25"/>
  <c r="I29"/>
  <c r="N29" s="1"/>
  <c r="P29" s="1"/>
  <c r="H155"/>
  <c r="J155" s="1"/>
  <c r="K155" s="1"/>
  <c r="G155"/>
  <c r="I154"/>
  <c r="N154" s="1"/>
  <c r="P154" s="1"/>
  <c r="H154"/>
  <c r="J154" s="1"/>
  <c r="K154" s="1"/>
  <c r="M153"/>
  <c r="L153"/>
  <c r="N155"/>
  <c r="P155" s="1"/>
  <c r="M155"/>
  <c r="L155"/>
  <c r="I153"/>
  <c r="N153" s="1"/>
  <c r="P153" s="1"/>
  <c r="H153"/>
  <c r="J153" s="1"/>
  <c r="K153" s="1"/>
  <c r="M154"/>
  <c r="L130"/>
  <c r="L114"/>
  <c r="L101"/>
  <c r="L93"/>
  <c r="F152"/>
  <c r="F151"/>
  <c r="F150"/>
  <c r="F149"/>
  <c r="L149" s="1"/>
  <c r="F148"/>
  <c r="F147"/>
  <c r="F146"/>
  <c r="L146" s="1"/>
  <c r="F145"/>
  <c r="I145" s="1"/>
  <c r="N145" s="1"/>
  <c r="F144"/>
  <c r="I144" s="1"/>
  <c r="N144" s="1"/>
  <c r="F143"/>
  <c r="F142"/>
  <c r="F141"/>
  <c r="L141" s="1"/>
  <c r="F140"/>
  <c r="F139"/>
  <c r="L139" s="1"/>
  <c r="F138"/>
  <c r="L138" s="1"/>
  <c r="F137"/>
  <c r="I137" s="1"/>
  <c r="N137" s="1"/>
  <c r="F136"/>
  <c r="I136" s="1"/>
  <c r="N136" s="1"/>
  <c r="F135"/>
  <c r="F134"/>
  <c r="F133"/>
  <c r="L133" s="1"/>
  <c r="F132"/>
  <c r="H132" s="1"/>
  <c r="J132" s="1"/>
  <c r="K132" s="1"/>
  <c r="F131"/>
  <c r="F130"/>
  <c r="I130" s="1"/>
  <c r="N130" s="1"/>
  <c r="F129"/>
  <c r="H129" s="1"/>
  <c r="J129" s="1"/>
  <c r="K129" s="1"/>
  <c r="F128"/>
  <c r="F127"/>
  <c r="F126"/>
  <c r="F125"/>
  <c r="L125" s="1"/>
  <c r="F124"/>
  <c r="H124" s="1"/>
  <c r="J124" s="1"/>
  <c r="K124" s="1"/>
  <c r="F123"/>
  <c r="L123" s="1"/>
  <c r="F122"/>
  <c r="L122" s="1"/>
  <c r="F121"/>
  <c r="H121" s="1"/>
  <c r="J121" s="1"/>
  <c r="K121" s="1"/>
  <c r="F120"/>
  <c r="I120" s="1"/>
  <c r="N120" s="1"/>
  <c r="F119"/>
  <c r="F118"/>
  <c r="F117"/>
  <c r="L117" s="1"/>
  <c r="F116"/>
  <c r="F115"/>
  <c r="F114"/>
  <c r="F113"/>
  <c r="I113" s="1"/>
  <c r="F112"/>
  <c r="F111"/>
  <c r="F110"/>
  <c r="F109"/>
  <c r="L109" s="1"/>
  <c r="F108"/>
  <c r="F107"/>
  <c r="L107" s="1"/>
  <c r="F106"/>
  <c r="F105"/>
  <c r="H105" s="1"/>
  <c r="J105" s="1"/>
  <c r="K105" s="1"/>
  <c r="F104"/>
  <c r="I104" s="1"/>
  <c r="N104" s="1"/>
  <c r="F103"/>
  <c r="F102"/>
  <c r="F101"/>
  <c r="F100"/>
  <c r="H100" s="1"/>
  <c r="J100" s="1"/>
  <c r="K100" s="1"/>
  <c r="F99"/>
  <c r="F98"/>
  <c r="F97"/>
  <c r="H97" s="1"/>
  <c r="J97" s="1"/>
  <c r="K97" s="1"/>
  <c r="F96"/>
  <c r="I96" s="1"/>
  <c r="N96" s="1"/>
  <c r="F95"/>
  <c r="F94"/>
  <c r="F93"/>
  <c r="F92"/>
  <c r="F91"/>
  <c r="F90"/>
  <c r="L90" s="1"/>
  <c r="F89"/>
  <c r="I89" s="1"/>
  <c r="F88"/>
  <c r="F87"/>
  <c r="F86"/>
  <c r="F85"/>
  <c r="F84"/>
  <c r="F83"/>
  <c r="F82"/>
  <c r="F81"/>
  <c r="I81" s="1"/>
  <c r="F80"/>
  <c r="I80" s="1"/>
  <c r="N80" s="1"/>
  <c r="F79"/>
  <c r="F78"/>
  <c r="F77"/>
  <c r="L77" s="1"/>
  <c r="F76"/>
  <c r="H76" s="1"/>
  <c r="J76" s="1"/>
  <c r="K76" s="1"/>
  <c r="F75"/>
  <c r="H75" s="1"/>
  <c r="J75" s="1"/>
  <c r="K75" s="1"/>
  <c r="F74"/>
  <c r="F73"/>
  <c r="H73" s="1"/>
  <c r="J73" s="1"/>
  <c r="K73" s="1"/>
  <c r="F72"/>
  <c r="I72" s="1"/>
  <c r="N72" s="1"/>
  <c r="F71"/>
  <c r="F70"/>
  <c r="F69"/>
  <c r="L69" s="1"/>
  <c r="F68"/>
  <c r="L68" s="1"/>
  <c r="F67"/>
  <c r="F66"/>
  <c r="H66" s="1"/>
  <c r="J66" s="1"/>
  <c r="K66" s="1"/>
  <c r="F65"/>
  <c r="F64"/>
  <c r="F63"/>
  <c r="F62"/>
  <c r="F61"/>
  <c r="L61" s="1"/>
  <c r="F60"/>
  <c r="F59"/>
  <c r="F58"/>
  <c r="I58" s="1"/>
  <c r="N58" s="1"/>
  <c r="F57"/>
  <c r="I57" s="1"/>
  <c r="N57" s="1"/>
  <c r="F56"/>
  <c r="I56" s="1"/>
  <c r="N56" s="1"/>
  <c r="F55"/>
  <c r="F54"/>
  <c r="F53"/>
  <c r="L53" s="1"/>
  <c r="F52"/>
  <c r="L52" s="1"/>
  <c r="F51"/>
  <c r="H51" s="1"/>
  <c r="J51" s="1"/>
  <c r="K51" s="1"/>
  <c r="F50"/>
  <c r="F49"/>
  <c r="I49" s="1"/>
  <c r="F48"/>
  <c r="F47"/>
  <c r="F46"/>
  <c r="F45"/>
  <c r="L45" s="1"/>
  <c r="F44"/>
  <c r="F43"/>
  <c r="F42"/>
  <c r="F41"/>
  <c r="H41" s="1"/>
  <c r="J41" s="1"/>
  <c r="K41" s="1"/>
  <c r="F40"/>
  <c r="I40" s="1"/>
  <c r="N40" s="1"/>
  <c r="F39"/>
  <c r="F38"/>
  <c r="F37"/>
  <c r="L37" s="1"/>
  <c r="F36"/>
  <c r="F35"/>
  <c r="D7" i="4"/>
  <c r="C5" s="1"/>
  <c r="F8" s="1"/>
  <c r="I122" i="2" l="1"/>
  <c r="H57"/>
  <c r="J57" s="1"/>
  <c r="K57" s="1"/>
  <c r="I121"/>
  <c r="N121" s="1"/>
  <c r="H137"/>
  <c r="J137" s="1"/>
  <c r="K137" s="1"/>
  <c r="I97"/>
  <c r="H89"/>
  <c r="J89" s="1"/>
  <c r="K89" s="1"/>
  <c r="I98"/>
  <c r="N98" s="1"/>
  <c r="L98"/>
  <c r="M44"/>
  <c r="G44"/>
  <c r="M84"/>
  <c r="G84"/>
  <c r="M116"/>
  <c r="G116"/>
  <c r="M148"/>
  <c r="G148"/>
  <c r="I43"/>
  <c r="N43" s="1"/>
  <c r="M43"/>
  <c r="G43"/>
  <c r="I83"/>
  <c r="N83" s="1"/>
  <c r="M83"/>
  <c r="G83"/>
  <c r="I131"/>
  <c r="N131" s="1"/>
  <c r="M131"/>
  <c r="G131"/>
  <c r="G74"/>
  <c r="M74"/>
  <c r="G106"/>
  <c r="M106"/>
  <c r="G146"/>
  <c r="M146"/>
  <c r="G65"/>
  <c r="L65"/>
  <c r="M65"/>
  <c r="L105"/>
  <c r="G105"/>
  <c r="M105"/>
  <c r="L145"/>
  <c r="G145"/>
  <c r="M145"/>
  <c r="L48"/>
  <c r="G48"/>
  <c r="M48"/>
  <c r="L96"/>
  <c r="G96"/>
  <c r="M96"/>
  <c r="L144"/>
  <c r="G144"/>
  <c r="M144"/>
  <c r="H52"/>
  <c r="J52" s="1"/>
  <c r="K52" s="1"/>
  <c r="H116"/>
  <c r="J116" s="1"/>
  <c r="K116" s="1"/>
  <c r="H131"/>
  <c r="J131" s="1"/>
  <c r="K131" s="1"/>
  <c r="L43"/>
  <c r="L124"/>
  <c r="H98"/>
  <c r="J98" s="1"/>
  <c r="K98" s="1"/>
  <c r="H49"/>
  <c r="J49" s="1"/>
  <c r="K49" s="1"/>
  <c r="H113"/>
  <c r="J113" s="1"/>
  <c r="K113" s="1"/>
  <c r="H145"/>
  <c r="J145" s="1"/>
  <c r="K145" s="1"/>
  <c r="I90"/>
  <c r="N90" s="1"/>
  <c r="L106"/>
  <c r="I36"/>
  <c r="M36"/>
  <c r="G36"/>
  <c r="M60"/>
  <c r="G60"/>
  <c r="M92"/>
  <c r="G92"/>
  <c r="M108"/>
  <c r="G108"/>
  <c r="M140"/>
  <c r="G140"/>
  <c r="M35"/>
  <c r="G35"/>
  <c r="I67"/>
  <c r="N67" s="1"/>
  <c r="P67" s="1"/>
  <c r="M67"/>
  <c r="G67"/>
  <c r="I91"/>
  <c r="N91" s="1"/>
  <c r="M91"/>
  <c r="G91"/>
  <c r="I115"/>
  <c r="N115" s="1"/>
  <c r="M115"/>
  <c r="G115"/>
  <c r="I147"/>
  <c r="N147" s="1"/>
  <c r="M147"/>
  <c r="G147"/>
  <c r="G50"/>
  <c r="M50"/>
  <c r="G58"/>
  <c r="M58"/>
  <c r="G90"/>
  <c r="M90"/>
  <c r="G114"/>
  <c r="M114"/>
  <c r="G138"/>
  <c r="M138"/>
  <c r="N49"/>
  <c r="G49"/>
  <c r="M49"/>
  <c r="L81"/>
  <c r="G81"/>
  <c r="M81"/>
  <c r="L97"/>
  <c r="G97"/>
  <c r="M97"/>
  <c r="L129"/>
  <c r="G129"/>
  <c r="M129"/>
  <c r="H40"/>
  <c r="J40" s="1"/>
  <c r="K40" s="1"/>
  <c r="G40"/>
  <c r="M40"/>
  <c r="H64"/>
  <c r="J64" s="1"/>
  <c r="K64" s="1"/>
  <c r="G64"/>
  <c r="M64"/>
  <c r="H80"/>
  <c r="J80" s="1"/>
  <c r="K80" s="1"/>
  <c r="G80"/>
  <c r="M80"/>
  <c r="H112"/>
  <c r="J112" s="1"/>
  <c r="K112" s="1"/>
  <c r="G112"/>
  <c r="M112"/>
  <c r="H136"/>
  <c r="J136" s="1"/>
  <c r="K136" s="1"/>
  <c r="G136"/>
  <c r="M136"/>
  <c r="H71"/>
  <c r="J71" s="1"/>
  <c r="K71" s="1"/>
  <c r="M71"/>
  <c r="G71"/>
  <c r="L111"/>
  <c r="M111"/>
  <c r="G111"/>
  <c r="L143"/>
  <c r="M143"/>
  <c r="G143"/>
  <c r="H68"/>
  <c r="J68" s="1"/>
  <c r="K68" s="1"/>
  <c r="I35"/>
  <c r="N35" s="1"/>
  <c r="L60"/>
  <c r="H83"/>
  <c r="J83" s="1"/>
  <c r="K83" s="1"/>
  <c r="H147"/>
  <c r="J147" s="1"/>
  <c r="K147" s="1"/>
  <c r="L75"/>
  <c r="L92"/>
  <c r="L108"/>
  <c r="H50"/>
  <c r="J50" s="1"/>
  <c r="K50" s="1"/>
  <c r="H130"/>
  <c r="J130" s="1"/>
  <c r="K130" s="1"/>
  <c r="L58"/>
  <c r="L91"/>
  <c r="H44"/>
  <c r="J44" s="1"/>
  <c r="K44" s="1"/>
  <c r="H92"/>
  <c r="J92" s="1"/>
  <c r="K92" s="1"/>
  <c r="H140"/>
  <c r="J140" s="1"/>
  <c r="K140" s="1"/>
  <c r="N97"/>
  <c r="I48"/>
  <c r="N48" s="1"/>
  <c r="I66"/>
  <c r="N66" s="1"/>
  <c r="P66" s="1"/>
  <c r="I112"/>
  <c r="N112" s="1"/>
  <c r="L36"/>
  <c r="L84"/>
  <c r="M68"/>
  <c r="G68"/>
  <c r="M124"/>
  <c r="G124"/>
  <c r="I51"/>
  <c r="N51" s="1"/>
  <c r="M51"/>
  <c r="G51"/>
  <c r="I99"/>
  <c r="N99" s="1"/>
  <c r="M99"/>
  <c r="G99"/>
  <c r="I139"/>
  <c r="N139" s="1"/>
  <c r="M139"/>
  <c r="G139"/>
  <c r="G42"/>
  <c r="M42"/>
  <c r="G82"/>
  <c r="M82"/>
  <c r="G122"/>
  <c r="M122"/>
  <c r="L73"/>
  <c r="G73"/>
  <c r="M73"/>
  <c r="L121"/>
  <c r="G121"/>
  <c r="M121"/>
  <c r="L72"/>
  <c r="G72"/>
  <c r="M72"/>
  <c r="H104"/>
  <c r="J104" s="1"/>
  <c r="K104" s="1"/>
  <c r="G104"/>
  <c r="M104"/>
  <c r="H128"/>
  <c r="J128" s="1"/>
  <c r="K128" s="1"/>
  <c r="G128"/>
  <c r="M128"/>
  <c r="L47"/>
  <c r="G47"/>
  <c r="M47"/>
  <c r="L63"/>
  <c r="G63"/>
  <c r="M63"/>
  <c r="L87"/>
  <c r="M87"/>
  <c r="G87"/>
  <c r="L78"/>
  <c r="G78"/>
  <c r="M78"/>
  <c r="H99"/>
  <c r="J99" s="1"/>
  <c r="K99" s="1"/>
  <c r="I138"/>
  <c r="N138" s="1"/>
  <c r="L140"/>
  <c r="H146"/>
  <c r="J146" s="1"/>
  <c r="K146" s="1"/>
  <c r="I50"/>
  <c r="N50" s="1"/>
  <c r="H81"/>
  <c r="J81" s="1"/>
  <c r="K81" s="1"/>
  <c r="I129"/>
  <c r="N129" s="1"/>
  <c r="L67"/>
  <c r="L116"/>
  <c r="L148"/>
  <c r="M52"/>
  <c r="G52"/>
  <c r="M76"/>
  <c r="G76"/>
  <c r="M100"/>
  <c r="G100"/>
  <c r="M132"/>
  <c r="G132"/>
  <c r="I59"/>
  <c r="N59" s="1"/>
  <c r="M59"/>
  <c r="G59"/>
  <c r="I75"/>
  <c r="N75" s="1"/>
  <c r="M75"/>
  <c r="G75"/>
  <c r="I107"/>
  <c r="N107" s="1"/>
  <c r="M107"/>
  <c r="G107"/>
  <c r="I123"/>
  <c r="N123" s="1"/>
  <c r="M123"/>
  <c r="G123"/>
  <c r="G66"/>
  <c r="M66"/>
  <c r="G98"/>
  <c r="M98"/>
  <c r="G130"/>
  <c r="M130"/>
  <c r="L41"/>
  <c r="G41"/>
  <c r="M41"/>
  <c r="L57"/>
  <c r="G57"/>
  <c r="M57"/>
  <c r="N89"/>
  <c r="G89"/>
  <c r="M89"/>
  <c r="N113"/>
  <c r="G113"/>
  <c r="M113"/>
  <c r="L137"/>
  <c r="G137"/>
  <c r="M137"/>
  <c r="H56"/>
  <c r="J56" s="1"/>
  <c r="K56" s="1"/>
  <c r="G56"/>
  <c r="M56"/>
  <c r="H88"/>
  <c r="J88" s="1"/>
  <c r="K88" s="1"/>
  <c r="G88"/>
  <c r="M88"/>
  <c r="L120"/>
  <c r="G120"/>
  <c r="M120"/>
  <c r="L39"/>
  <c r="G39"/>
  <c r="M39"/>
  <c r="H55"/>
  <c r="J55" s="1"/>
  <c r="K55" s="1"/>
  <c r="M55"/>
  <c r="G55"/>
  <c r="G79"/>
  <c r="M79"/>
  <c r="H95"/>
  <c r="J95" s="1"/>
  <c r="K95" s="1"/>
  <c r="G95"/>
  <c r="M95"/>
  <c r="G103"/>
  <c r="M103"/>
  <c r="H119"/>
  <c r="J119" s="1"/>
  <c r="K119" s="1"/>
  <c r="G119"/>
  <c r="M119"/>
  <c r="M127"/>
  <c r="G127"/>
  <c r="I135"/>
  <c r="N135" s="1"/>
  <c r="G135"/>
  <c r="M135"/>
  <c r="G151"/>
  <c r="M151"/>
  <c r="L38"/>
  <c r="M38"/>
  <c r="G38"/>
  <c r="I46"/>
  <c r="N46" s="1"/>
  <c r="M46"/>
  <c r="G46"/>
  <c r="G54"/>
  <c r="M54"/>
  <c r="L62"/>
  <c r="M62"/>
  <c r="G62"/>
  <c r="I70"/>
  <c r="N70" s="1"/>
  <c r="P70" s="1"/>
  <c r="M70"/>
  <c r="G70"/>
  <c r="M86"/>
  <c r="G86"/>
  <c r="I94"/>
  <c r="M94"/>
  <c r="G94"/>
  <c r="L102"/>
  <c r="G102"/>
  <c r="M102"/>
  <c r="M110"/>
  <c r="G110"/>
  <c r="I118"/>
  <c r="N118" s="1"/>
  <c r="M118"/>
  <c r="G118"/>
  <c r="L126"/>
  <c r="G126"/>
  <c r="M126"/>
  <c r="M134"/>
  <c r="G134"/>
  <c r="I142"/>
  <c r="M142"/>
  <c r="G142"/>
  <c r="M150"/>
  <c r="G150"/>
  <c r="H37"/>
  <c r="J37" s="1"/>
  <c r="K37" s="1"/>
  <c r="M37"/>
  <c r="G37"/>
  <c r="H45"/>
  <c r="J45" s="1"/>
  <c r="K45" s="1"/>
  <c r="M45"/>
  <c r="G45"/>
  <c r="H53"/>
  <c r="J53" s="1"/>
  <c r="K53" s="1"/>
  <c r="M53"/>
  <c r="G53"/>
  <c r="H61"/>
  <c r="J61" s="1"/>
  <c r="K61" s="1"/>
  <c r="M61"/>
  <c r="G61"/>
  <c r="H69"/>
  <c r="J69" s="1"/>
  <c r="K69" s="1"/>
  <c r="M69"/>
  <c r="G69"/>
  <c r="H77"/>
  <c r="J77" s="1"/>
  <c r="K77" s="1"/>
  <c r="M77"/>
  <c r="G77"/>
  <c r="H85"/>
  <c r="J85" s="1"/>
  <c r="K85" s="1"/>
  <c r="M85"/>
  <c r="G85"/>
  <c r="L85"/>
  <c r="H93"/>
  <c r="J93" s="1"/>
  <c r="K93" s="1"/>
  <c r="M93"/>
  <c r="G93"/>
  <c r="H101"/>
  <c r="J101" s="1"/>
  <c r="K101" s="1"/>
  <c r="M101"/>
  <c r="G101"/>
  <c r="H109"/>
  <c r="J109" s="1"/>
  <c r="K109" s="1"/>
  <c r="M109"/>
  <c r="G109"/>
  <c r="H117"/>
  <c r="J117" s="1"/>
  <c r="K117" s="1"/>
  <c r="M117"/>
  <c r="G117"/>
  <c r="H125"/>
  <c r="J125" s="1"/>
  <c r="K125" s="1"/>
  <c r="M125"/>
  <c r="G125"/>
  <c r="H133"/>
  <c r="J133" s="1"/>
  <c r="K133" s="1"/>
  <c r="M133"/>
  <c r="G133"/>
  <c r="H141"/>
  <c r="J141" s="1"/>
  <c r="K141" s="1"/>
  <c r="M141"/>
  <c r="G141"/>
  <c r="H149"/>
  <c r="J149" s="1"/>
  <c r="K149" s="1"/>
  <c r="M149"/>
  <c r="G149"/>
  <c r="H36"/>
  <c r="J36" s="1"/>
  <c r="K36" s="1"/>
  <c r="H84"/>
  <c r="J84" s="1"/>
  <c r="K84" s="1"/>
  <c r="H148"/>
  <c r="J148" s="1"/>
  <c r="K148" s="1"/>
  <c r="L44"/>
  <c r="L76"/>
  <c r="H35"/>
  <c r="J35" s="1"/>
  <c r="K35" s="1"/>
  <c r="H67"/>
  <c r="J67" s="1"/>
  <c r="K67" s="1"/>
  <c r="H115"/>
  <c r="J115" s="1"/>
  <c r="K115" s="1"/>
  <c r="N122"/>
  <c r="I74"/>
  <c r="N74" s="1"/>
  <c r="P74" s="1"/>
  <c r="L59"/>
  <c r="H82"/>
  <c r="J82" s="1"/>
  <c r="K82" s="1"/>
  <c r="H114"/>
  <c r="J114" s="1"/>
  <c r="K114" s="1"/>
  <c r="I73"/>
  <c r="N73" s="1"/>
  <c r="I114"/>
  <c r="N114" s="1"/>
  <c r="L42"/>
  <c r="L74"/>
  <c r="H65"/>
  <c r="J65" s="1"/>
  <c r="K65" s="1"/>
  <c r="H60"/>
  <c r="J60" s="1"/>
  <c r="K60" s="1"/>
  <c r="H108"/>
  <c r="J108" s="1"/>
  <c r="K108" s="1"/>
  <c r="H43"/>
  <c r="J43" s="1"/>
  <c r="K43" s="1"/>
  <c r="H59"/>
  <c r="J59" s="1"/>
  <c r="K59" s="1"/>
  <c r="H91"/>
  <c r="J91" s="1"/>
  <c r="K91" s="1"/>
  <c r="H107"/>
  <c r="J107" s="1"/>
  <c r="K107" s="1"/>
  <c r="H123"/>
  <c r="J123" s="1"/>
  <c r="K123" s="1"/>
  <c r="H139"/>
  <c r="J139" s="1"/>
  <c r="K139" s="1"/>
  <c r="I42"/>
  <c r="N42" s="1"/>
  <c r="I65"/>
  <c r="N65" s="1"/>
  <c r="I88"/>
  <c r="N88" s="1"/>
  <c r="P88" s="1"/>
  <c r="I106"/>
  <c r="N106" s="1"/>
  <c r="L35"/>
  <c r="L51"/>
  <c r="L83"/>
  <c r="L100"/>
  <c r="L132"/>
  <c r="H42"/>
  <c r="J42" s="1"/>
  <c r="K42" s="1"/>
  <c r="H58"/>
  <c r="J58" s="1"/>
  <c r="K58" s="1"/>
  <c r="H74"/>
  <c r="J74" s="1"/>
  <c r="K74" s="1"/>
  <c r="H90"/>
  <c r="J90" s="1"/>
  <c r="K90" s="1"/>
  <c r="H106"/>
  <c r="J106" s="1"/>
  <c r="K106" s="1"/>
  <c r="H122"/>
  <c r="J122" s="1"/>
  <c r="K122" s="1"/>
  <c r="H138"/>
  <c r="J138" s="1"/>
  <c r="K138" s="1"/>
  <c r="I41"/>
  <c r="N41" s="1"/>
  <c r="I64"/>
  <c r="N64" s="1"/>
  <c r="P64" s="1"/>
  <c r="I82"/>
  <c r="N82" s="1"/>
  <c r="I105"/>
  <c r="N105" s="1"/>
  <c r="I128"/>
  <c r="N128" s="1"/>
  <c r="I146"/>
  <c r="N146" s="1"/>
  <c r="L50"/>
  <c r="L66"/>
  <c r="L82"/>
  <c r="L99"/>
  <c r="L115"/>
  <c r="L131"/>
  <c r="L147"/>
  <c r="H152"/>
  <c r="J152" s="1"/>
  <c r="K152" s="1"/>
  <c r="M152"/>
  <c r="G152"/>
  <c r="I152"/>
  <c r="N152" s="1"/>
  <c r="P152" s="1"/>
  <c r="N36"/>
  <c r="N81"/>
  <c r="I47"/>
  <c r="I71"/>
  <c r="I95"/>
  <c r="I119"/>
  <c r="I143"/>
  <c r="H48"/>
  <c r="J48" s="1"/>
  <c r="K48" s="1"/>
  <c r="H72"/>
  <c r="J72" s="1"/>
  <c r="K72" s="1"/>
  <c r="H96"/>
  <c r="J96" s="1"/>
  <c r="K96" s="1"/>
  <c r="H120"/>
  <c r="J120" s="1"/>
  <c r="K120" s="1"/>
  <c r="H144"/>
  <c r="J144" s="1"/>
  <c r="K144" s="1"/>
  <c r="N142"/>
  <c r="I38"/>
  <c r="I62"/>
  <c r="N62" s="1"/>
  <c r="I86"/>
  <c r="N86" s="1"/>
  <c r="I110"/>
  <c r="N110" s="1"/>
  <c r="I126"/>
  <c r="N126" s="1"/>
  <c r="I150"/>
  <c r="N150" s="1"/>
  <c r="H39"/>
  <c r="J39" s="1"/>
  <c r="K39" s="1"/>
  <c r="H47"/>
  <c r="J47" s="1"/>
  <c r="K47" s="1"/>
  <c r="H63"/>
  <c r="J63" s="1"/>
  <c r="K63" s="1"/>
  <c r="H79"/>
  <c r="J79" s="1"/>
  <c r="K79" s="1"/>
  <c r="H87"/>
  <c r="J87" s="1"/>
  <c r="K87" s="1"/>
  <c r="H103"/>
  <c r="J103" s="1"/>
  <c r="K103" s="1"/>
  <c r="H111"/>
  <c r="J111" s="1"/>
  <c r="K111" s="1"/>
  <c r="H127"/>
  <c r="J127" s="1"/>
  <c r="K127" s="1"/>
  <c r="H135"/>
  <c r="J135" s="1"/>
  <c r="K135" s="1"/>
  <c r="H143"/>
  <c r="J143" s="1"/>
  <c r="K143" s="1"/>
  <c r="H151"/>
  <c r="J151" s="1"/>
  <c r="K151" s="1"/>
  <c r="I37"/>
  <c r="I45"/>
  <c r="I53"/>
  <c r="I61"/>
  <c r="I69"/>
  <c r="I77"/>
  <c r="I85"/>
  <c r="I93"/>
  <c r="I101"/>
  <c r="I109"/>
  <c r="I117"/>
  <c r="I125"/>
  <c r="I133"/>
  <c r="I141"/>
  <c r="I149"/>
  <c r="L49"/>
  <c r="L89"/>
  <c r="L113"/>
  <c r="H38"/>
  <c r="J38" s="1"/>
  <c r="K38" s="1"/>
  <c r="H46"/>
  <c r="J46" s="1"/>
  <c r="K46" s="1"/>
  <c r="H54"/>
  <c r="J54" s="1"/>
  <c r="K54" s="1"/>
  <c r="H62"/>
  <c r="J62" s="1"/>
  <c r="K62" s="1"/>
  <c r="H70"/>
  <c r="J70" s="1"/>
  <c r="K70" s="1"/>
  <c r="H78"/>
  <c r="J78" s="1"/>
  <c r="K78" s="1"/>
  <c r="H86"/>
  <c r="J86" s="1"/>
  <c r="K86" s="1"/>
  <c r="H94"/>
  <c r="J94" s="1"/>
  <c r="K94" s="1"/>
  <c r="H102"/>
  <c r="J102" s="1"/>
  <c r="K102" s="1"/>
  <c r="H110"/>
  <c r="J110" s="1"/>
  <c r="K110" s="1"/>
  <c r="H118"/>
  <c r="J118" s="1"/>
  <c r="K118" s="1"/>
  <c r="H126"/>
  <c r="J126" s="1"/>
  <c r="K126" s="1"/>
  <c r="H134"/>
  <c r="J134" s="1"/>
  <c r="K134" s="1"/>
  <c r="H142"/>
  <c r="J142" s="1"/>
  <c r="K142" s="1"/>
  <c r="H150"/>
  <c r="J150" s="1"/>
  <c r="K150" s="1"/>
  <c r="I44"/>
  <c r="I52"/>
  <c r="N52" s="1"/>
  <c r="I60"/>
  <c r="I68"/>
  <c r="I76"/>
  <c r="N76" s="1"/>
  <c r="I84"/>
  <c r="N84" s="1"/>
  <c r="P84" s="1"/>
  <c r="I92"/>
  <c r="I100"/>
  <c r="N100" s="1"/>
  <c r="I108"/>
  <c r="I116"/>
  <c r="N116" s="1"/>
  <c r="I124"/>
  <c r="I132"/>
  <c r="I140"/>
  <c r="N140" s="1"/>
  <c r="I148"/>
  <c r="L40"/>
  <c r="L56"/>
  <c r="L64"/>
  <c r="L80"/>
  <c r="L88"/>
  <c r="L104"/>
  <c r="L112"/>
  <c r="L128"/>
  <c r="L136"/>
  <c r="L152"/>
  <c r="I39"/>
  <c r="I63"/>
  <c r="I87"/>
  <c r="I111"/>
  <c r="I127"/>
  <c r="I151"/>
  <c r="I54"/>
  <c r="N54" s="1"/>
  <c r="I78"/>
  <c r="I102"/>
  <c r="I134"/>
  <c r="L55"/>
  <c r="L71"/>
  <c r="L79"/>
  <c r="L95"/>
  <c r="L103"/>
  <c r="L119"/>
  <c r="L127"/>
  <c r="L135"/>
  <c r="L151"/>
  <c r="L46"/>
  <c r="L54"/>
  <c r="L70"/>
  <c r="L86"/>
  <c r="L94"/>
  <c r="L110"/>
  <c r="L118"/>
  <c r="L134"/>
  <c r="L142"/>
  <c r="L150"/>
  <c r="N94"/>
  <c r="I55"/>
  <c r="I79"/>
  <c r="I103"/>
  <c r="C7" i="4"/>
  <c r="F5" s="1"/>
  <c r="H9" s="1"/>
  <c r="P104" i="2"/>
  <c r="P73"/>
  <c r="P72"/>
  <c r="N39" l="1"/>
  <c r="N132"/>
  <c r="N37"/>
  <c r="N119"/>
  <c r="N60"/>
  <c r="N79"/>
  <c r="P79" s="1"/>
  <c r="N103"/>
  <c r="P103" s="1"/>
  <c r="N63"/>
  <c r="N101"/>
  <c r="N134"/>
  <c r="N45"/>
  <c r="N111"/>
  <c r="N117"/>
  <c r="N143"/>
  <c r="N125"/>
  <c r="N133"/>
  <c r="N102"/>
  <c r="N93"/>
  <c r="N71"/>
  <c r="P71" s="1"/>
  <c r="N68"/>
  <c r="P68" s="1"/>
  <c r="N95"/>
  <c r="N87"/>
  <c r="N109"/>
  <c r="N53"/>
  <c r="N127"/>
  <c r="N92"/>
  <c r="N61"/>
  <c r="P61" s="1"/>
  <c r="N151"/>
  <c r="N69"/>
  <c r="P69" s="1"/>
  <c r="N108"/>
  <c r="N44"/>
  <c r="N141"/>
  <c r="N77"/>
  <c r="N55"/>
  <c r="N149"/>
  <c r="N85"/>
  <c r="N47"/>
  <c r="N124"/>
  <c r="N148"/>
  <c r="N78"/>
  <c r="N38"/>
  <c r="H10" i="4" l="1"/>
  <c r="H13" s="1"/>
  <c r="P60" i="2"/>
  <c r="P59"/>
  <c r="P57"/>
  <c r="P56"/>
  <c r="P51"/>
  <c r="P48"/>
  <c r="P47"/>
  <c r="P46"/>
  <c r="P43"/>
  <c r="P44"/>
  <c r="P151"/>
  <c r="P150"/>
  <c r="P149"/>
  <c r="P148"/>
  <c r="P147"/>
  <c r="P146"/>
  <c r="P145"/>
  <c r="P144"/>
  <c r="P143"/>
  <c r="P142"/>
  <c r="P141"/>
  <c r="P140"/>
  <c r="P139"/>
  <c r="P138"/>
  <c r="P137"/>
  <c r="P136"/>
  <c r="P135"/>
  <c r="P134"/>
  <c r="P133"/>
  <c r="P132"/>
  <c r="P131"/>
  <c r="P130"/>
  <c r="P129"/>
  <c r="P128"/>
  <c r="P127"/>
  <c r="P126"/>
  <c r="P125"/>
  <c r="P124"/>
  <c r="P123"/>
  <c r="P122"/>
  <c r="P121"/>
  <c r="P120"/>
  <c r="P119"/>
  <c r="P118"/>
  <c r="P117"/>
  <c r="P116"/>
  <c r="P115"/>
  <c r="P114"/>
  <c r="P113"/>
  <c r="P112"/>
  <c r="P111"/>
  <c r="P110"/>
  <c r="P109"/>
  <c r="P108"/>
  <c r="P107"/>
  <c r="P106"/>
  <c r="P105"/>
  <c r="P102"/>
  <c r="P101"/>
  <c r="P100"/>
  <c r="P99"/>
  <c r="P98"/>
  <c r="P97"/>
  <c r="P96"/>
  <c r="P95"/>
  <c r="P94"/>
  <c r="P93"/>
  <c r="P92"/>
  <c r="P91"/>
  <c r="P90"/>
  <c r="P89"/>
  <c r="P87"/>
  <c r="P86"/>
  <c r="P85"/>
  <c r="P83"/>
  <c r="P82"/>
  <c r="P81"/>
  <c r="P80"/>
  <c r="P78"/>
  <c r="P77"/>
  <c r="P76"/>
  <c r="P75"/>
  <c r="P62"/>
  <c r="P54"/>
  <c r="P53"/>
  <c r="P52"/>
  <c r="P49"/>
  <c r="P41"/>
  <c r="P40"/>
  <c r="P39"/>
  <c r="P38"/>
  <c r="P37"/>
  <c r="P36"/>
  <c r="H12" i="4" l="1"/>
  <c r="H14" s="1"/>
  <c r="H11"/>
  <c r="P35" i="2" l="1"/>
  <c r="Z31" l="1"/>
  <c r="P65"/>
  <c r="P63"/>
  <c r="P58"/>
  <c r="P55"/>
  <c r="P50"/>
  <c r="P45"/>
  <c r="P42"/>
  <c r="O15" l="1"/>
  <c r="O12"/>
  <c r="O13"/>
  <c r="O10"/>
  <c r="O33"/>
  <c r="O30"/>
  <c r="O28"/>
  <c r="O19"/>
  <c r="O16"/>
  <c r="O23"/>
  <c r="O6"/>
  <c r="O5"/>
  <c r="O24"/>
  <c r="O21"/>
  <c r="O8"/>
  <c r="O9"/>
  <c r="O7"/>
  <c r="O17"/>
  <c r="O25"/>
  <c r="O18"/>
  <c r="O27"/>
  <c r="O11"/>
  <c r="O20"/>
  <c r="O32"/>
  <c r="O34"/>
  <c r="O29"/>
  <c r="O22"/>
  <c r="O31"/>
  <c r="O14"/>
  <c r="O26"/>
  <c r="H15" i="4"/>
  <c r="H17" s="1"/>
  <c r="O155" i="2"/>
  <c r="O153"/>
  <c r="O154"/>
  <c r="O152"/>
  <c r="O104"/>
  <c r="O73"/>
  <c r="O71"/>
  <c r="O103"/>
  <c r="O74"/>
  <c r="O88"/>
  <c r="O79"/>
  <c r="O72"/>
  <c r="O70"/>
  <c r="O84"/>
  <c r="O68"/>
  <c r="O69"/>
  <c r="O66"/>
  <c r="O67"/>
  <c r="O61"/>
  <c r="O64"/>
  <c r="O46"/>
  <c r="O116"/>
  <c r="O147"/>
  <c r="O115"/>
  <c r="O43"/>
  <c r="O137"/>
  <c r="O120"/>
  <c r="O111"/>
  <c r="O92"/>
  <c r="O57"/>
  <c r="O125"/>
  <c r="O108"/>
  <c r="O123"/>
  <c r="O78"/>
  <c r="O146"/>
  <c r="O129"/>
  <c r="O112"/>
  <c r="O101"/>
  <c r="O82"/>
  <c r="O150"/>
  <c r="O117"/>
  <c r="O98"/>
  <c r="O97"/>
  <c r="O77"/>
  <c r="O130"/>
  <c r="O121"/>
  <c r="O102"/>
  <c r="O93"/>
  <c r="O54"/>
  <c r="O142"/>
  <c r="O109"/>
  <c r="O56"/>
  <c r="O90"/>
  <c r="O49"/>
  <c r="O107"/>
  <c r="O122"/>
  <c r="O113"/>
  <c r="O94"/>
  <c r="O83"/>
  <c r="O151"/>
  <c r="O134"/>
  <c r="O99"/>
  <c r="O51"/>
  <c r="O80"/>
  <c r="O148"/>
  <c r="O59"/>
  <c r="O106"/>
  <c r="O105"/>
  <c r="O85"/>
  <c r="O62"/>
  <c r="O143"/>
  <c r="O126"/>
  <c r="O91"/>
  <c r="O47"/>
  <c r="O52"/>
  <c r="O140"/>
  <c r="O138"/>
  <c r="O87"/>
  <c r="O95"/>
  <c r="O75"/>
  <c r="O144"/>
  <c r="O135"/>
  <c r="O118"/>
  <c r="O81"/>
  <c r="O149"/>
  <c r="O131"/>
  <c r="O132"/>
  <c r="O114"/>
  <c r="O48"/>
  <c r="O86"/>
  <c r="O44"/>
  <c r="O136"/>
  <c r="O127"/>
  <c r="O110"/>
  <c r="O53"/>
  <c r="O141"/>
  <c r="O89"/>
  <c r="O124"/>
  <c r="O96"/>
  <c r="O139"/>
  <c r="O76"/>
  <c r="O145"/>
  <c r="O128"/>
  <c r="O119"/>
  <c r="O100"/>
  <c r="O60"/>
  <c r="O133"/>
  <c r="O40"/>
  <c r="O36"/>
  <c r="O41"/>
  <c r="O37"/>
  <c r="O38"/>
  <c r="O39"/>
  <c r="O35"/>
  <c r="O55"/>
  <c r="O50"/>
  <c r="O45"/>
  <c r="O63"/>
  <c r="O58"/>
  <c r="O42"/>
  <c r="O65"/>
  <c r="Q37"/>
  <c r="Q36"/>
  <c r="AL2"/>
  <c r="AL4" s="1"/>
  <c r="K34" i="1"/>
  <c r="E115" s="1"/>
  <c r="G113"/>
  <c r="C113"/>
  <c r="J36" s="1"/>
  <c r="G112"/>
  <c r="I115"/>
  <c r="I116"/>
  <c r="G116"/>
  <c r="G115"/>
  <c r="D116"/>
  <c r="D115"/>
  <c r="A118"/>
  <c r="B112" s="1"/>
  <c r="L41"/>
  <c r="L39"/>
  <c r="Q25" i="2" l="1"/>
  <c r="Q35" s="1"/>
  <c r="G43" i="1"/>
  <c r="A124"/>
  <c r="L42" s="1"/>
  <c r="L43" s="1"/>
  <c r="A117"/>
  <c r="H40" s="1"/>
  <c r="H41" s="1"/>
  <c r="L44" s="1"/>
  <c r="L45" s="1"/>
  <c r="H42"/>
  <c r="A123"/>
  <c r="I44" s="1"/>
  <c r="A125"/>
  <c r="A122"/>
  <c r="I43" s="1"/>
  <c r="A120"/>
  <c r="A119"/>
  <c r="A121"/>
  <c r="E112" l="1"/>
  <c r="F36" s="1"/>
  <c r="G44"/>
  <c r="H43"/>
  <c r="H45" s="1"/>
  <c r="H44"/>
  <c r="K33" l="1"/>
  <c r="E116" s="1"/>
  <c r="Q28" i="2" l="1"/>
  <c r="Q24"/>
  <c r="Q5"/>
  <c r="Q14" s="1"/>
  <c r="S4"/>
  <c r="R4"/>
  <c r="Q4"/>
  <c r="Q2"/>
  <c r="A7" i="1"/>
  <c r="AI2" i="2"/>
  <c r="AI4" s="1"/>
  <c r="AF2"/>
  <c r="AF4" s="1"/>
  <c r="AC2"/>
  <c r="Z2"/>
  <c r="W2"/>
  <c r="T2"/>
  <c r="W6"/>
  <c r="Z6" s="1"/>
  <c r="AC6" s="1"/>
  <c r="AF6" s="1"/>
  <c r="AI6" s="1"/>
  <c r="AL6" s="1"/>
  <c r="W5"/>
  <c r="Z5" s="1"/>
  <c r="AC5" s="1"/>
  <c r="AF5" s="1"/>
  <c r="AI5" s="1"/>
  <c r="AL5" s="1"/>
  <c r="T6"/>
  <c r="T5"/>
  <c r="S3"/>
  <c r="Y3" s="1"/>
  <c r="AB3" s="1"/>
  <c r="R3"/>
  <c r="X3" s="1"/>
  <c r="AA3" s="1"/>
  <c r="L22" i="1"/>
  <c r="L24"/>
  <c r="L23"/>
  <c r="H5"/>
  <c r="G5"/>
  <c r="K31"/>
  <c r="L12" s="1"/>
  <c r="S26" i="2" l="1"/>
  <c r="S18"/>
  <c r="S10"/>
  <c r="S27"/>
  <c r="S19"/>
  <c r="S11"/>
  <c r="S36"/>
  <c r="S20"/>
  <c r="S12"/>
  <c r="S21"/>
  <c r="S13"/>
  <c r="S5"/>
  <c r="E7" i="1" s="1"/>
  <c r="S22" i="2"/>
  <c r="S14"/>
  <c r="S6"/>
  <c r="K7" i="1" s="1"/>
  <c r="S23" i="2"/>
  <c r="S15"/>
  <c r="S7"/>
  <c r="S24"/>
  <c r="S16"/>
  <c r="S8"/>
  <c r="S25"/>
  <c r="S17"/>
  <c r="S9"/>
  <c r="R36"/>
  <c r="Z44" s="1"/>
  <c r="R21"/>
  <c r="R16"/>
  <c r="R8"/>
  <c r="R26"/>
  <c r="R19"/>
  <c r="R20"/>
  <c r="R17"/>
  <c r="R14"/>
  <c r="R12"/>
  <c r="R25"/>
  <c r="AM4" s="1"/>
  <c r="R18"/>
  <c r="R13"/>
  <c r="R5"/>
  <c r="D7" i="1" s="1"/>
  <c r="D8" s="1"/>
  <c r="R9" i="2"/>
  <c r="R27"/>
  <c r="R22"/>
  <c r="R15"/>
  <c r="R10"/>
  <c r="R6"/>
  <c r="R23"/>
  <c r="R11"/>
  <c r="R24"/>
  <c r="R7"/>
  <c r="Q23"/>
  <c r="Q22"/>
  <c r="Q34" s="1"/>
  <c r="Q19"/>
  <c r="Q33" s="1"/>
  <c r="Z45"/>
  <c r="Q21"/>
  <c r="Q27"/>
  <c r="Q16"/>
  <c r="Q32" s="1"/>
  <c r="AC4"/>
  <c r="Q20"/>
  <c r="Q26"/>
  <c r="Q18"/>
  <c r="Q17"/>
  <c r="Q13"/>
  <c r="Q31" s="1"/>
  <c r="Z4"/>
  <c r="Q10"/>
  <c r="Q30" s="1"/>
  <c r="W4"/>
  <c r="Q9"/>
  <c r="Q8"/>
  <c r="Q7"/>
  <c r="Q29" s="1"/>
  <c r="T4"/>
  <c r="Q15"/>
  <c r="AE3"/>
  <c r="AH3" s="1"/>
  <c r="AK3" s="1"/>
  <c r="AN3" s="1"/>
  <c r="AD3"/>
  <c r="AG3" s="1"/>
  <c r="AJ3" s="1"/>
  <c r="AM3" s="1"/>
  <c r="Q12"/>
  <c r="Q11"/>
  <c r="U3"/>
  <c r="V3"/>
  <c r="F19" i="1"/>
  <c r="K32"/>
  <c r="K30"/>
  <c r="F12" s="1"/>
  <c r="K25"/>
  <c r="L25" s="1"/>
  <c r="K29"/>
  <c r="C12" s="1"/>
  <c r="AM5" i="2" l="1"/>
  <c r="AM6"/>
  <c r="AN4"/>
  <c r="S35"/>
  <c r="R35"/>
  <c r="S30"/>
  <c r="Y4"/>
  <c r="Y5" s="1"/>
  <c r="S33"/>
  <c r="AH4"/>
  <c r="R34"/>
  <c r="AJ4"/>
  <c r="S31"/>
  <c r="AB4"/>
  <c r="S32"/>
  <c r="AE4"/>
  <c r="R29"/>
  <c r="U4"/>
  <c r="R30"/>
  <c r="X4"/>
  <c r="R33"/>
  <c r="AG4"/>
  <c r="R31"/>
  <c r="AA4"/>
  <c r="R32"/>
  <c r="AD4"/>
  <c r="S29"/>
  <c r="V4"/>
  <c r="S34"/>
  <c r="AK4"/>
  <c r="E8" i="1"/>
  <c r="F7" s="1"/>
  <c r="F5" s="1"/>
  <c r="G19"/>
  <c r="G20" s="1"/>
  <c r="I12"/>
  <c r="C20"/>
  <c r="D20"/>
  <c r="F20"/>
  <c r="V5" i="2" l="1"/>
  <c r="V6"/>
  <c r="AK5"/>
  <c r="AK6"/>
  <c r="Z43"/>
  <c r="W40" s="1"/>
  <c r="AB5"/>
  <c r="AB6"/>
  <c r="AE5"/>
  <c r="AE6"/>
  <c r="AH5"/>
  <c r="AH6"/>
  <c r="AN5"/>
  <c r="AN6"/>
  <c r="U5"/>
  <c r="U6"/>
  <c r="X5"/>
  <c r="X6"/>
  <c r="AJ6"/>
  <c r="AJ5"/>
  <c r="AD6"/>
  <c r="AD5"/>
  <c r="AG5"/>
  <c r="AG6"/>
  <c r="Z42"/>
  <c r="W39" s="1"/>
  <c r="AA5"/>
  <c r="AA6"/>
  <c r="Y6"/>
  <c r="S28"/>
  <c r="B9" i="1" s="1"/>
  <c r="R28" i="2"/>
  <c r="A9" i="1" s="1"/>
  <c r="C23"/>
  <c r="F23"/>
  <c r="F13" l="1"/>
  <c r="D21"/>
  <c r="C22" s="1"/>
  <c r="F25" l="1"/>
  <c r="I5" s="1"/>
  <c r="F24"/>
  <c r="L5" s="1"/>
  <c r="L13" s="1"/>
  <c r="I13" l="1"/>
  <c r="F26"/>
  <c r="H24" s="1"/>
  <c r="J5"/>
  <c r="K21"/>
  <c r="K20" s="1"/>
  <c r="K26" s="1"/>
  <c r="M5" s="1"/>
  <c r="H22" l="1"/>
  <c r="H25"/>
  <c r="F27"/>
  <c r="H27" s="1"/>
  <c r="K5"/>
  <c r="H26" l="1"/>
  <c r="C13"/>
  <c r="J7" l="1"/>
  <c r="K8"/>
  <c r="I7" l="1"/>
  <c r="J8"/>
  <c r="I8" l="1"/>
  <c r="L7"/>
  <c r="G7" l="1"/>
  <c r="G6" s="1"/>
  <c r="L8"/>
  <c r="L21"/>
  <c r="L20" s="1"/>
  <c r="L26" s="1"/>
  <c r="M7" s="1"/>
  <c r="M8" s="1"/>
  <c r="AO2" i="2" l="1"/>
  <c r="AO3" s="1"/>
  <c r="D9" i="1" s="1"/>
</calcChain>
</file>

<file path=xl/sharedStrings.xml><?xml version="1.0" encoding="utf-8"?>
<sst xmlns="http://schemas.openxmlformats.org/spreadsheetml/2006/main" count="470" uniqueCount="365">
  <si>
    <t>gram</t>
  </si>
  <si>
    <t>g/mol</t>
  </si>
  <si>
    <t>x</t>
  </si>
  <si>
    <t>x =</t>
  </si>
  <si>
    <t>Vol %</t>
  </si>
  <si>
    <t>H</t>
  </si>
  <si>
    <t>C</t>
  </si>
  <si>
    <t>O</t>
  </si>
  <si>
    <t xml:space="preserve">http://www.natlex.dk/mol.html </t>
  </si>
  <si>
    <t>y</t>
  </si>
  <si>
    <t>y =</t>
  </si>
  <si>
    <t>[g/mol]</t>
  </si>
  <si>
    <t>http://www.walter-lystfisker.dk</t>
  </si>
  <si>
    <t>walter</t>
  </si>
  <si>
    <t>p</t>
  </si>
  <si>
    <t>V</t>
  </si>
  <si>
    <t>R</t>
  </si>
  <si>
    <t>liter</t>
  </si>
  <si>
    <t>[mol]</t>
  </si>
  <si>
    <t>Kelvin [°C + 273,15]</t>
  </si>
  <si>
    <t>t</t>
  </si>
  <si>
    <t>T</t>
  </si>
  <si>
    <t xml:space="preserve">http://en.wikipedia.org/wiki/Fermentation_(wine) </t>
  </si>
  <si>
    <t xml:space="preserve">http://en.wikipedia.org/wiki/Oechsle_scale </t>
  </si>
  <si>
    <t xml:space="preserve">http://en.wikipedia.org/wiki/Must_weight </t>
  </si>
  <si>
    <t xml:space="preserve">http://www.vinbryggeren.dk/index.html </t>
  </si>
  <si>
    <t xml:space="preserve">http://de.wikipedia.org/wiki/Klosterneuburger_Mostwaage </t>
  </si>
  <si>
    <t xml:space="preserve">http://de.wikipedia.org/wiki/Grad_Oechsle </t>
  </si>
  <si>
    <t xml:space="preserve">http://de.wikipedia.org/wiki/Mostgewicht </t>
  </si>
  <si>
    <t xml:space="preserve">http://de.wikipedia.org/wiki/Grad_Brix </t>
  </si>
  <si>
    <t>gram/liter</t>
  </si>
  <si>
    <t xml:space="preserve">http://en.wikipedia.org/wiki/Alcohol_by_volume </t>
  </si>
  <si>
    <t xml:space="preserve">http://en.wikipedia.org/wiki/Volume_percent </t>
  </si>
  <si>
    <t>{1,0079*2} + {15,9994} =</t>
  </si>
  <si>
    <t>{12,011} + {15,9994*2} =</t>
  </si>
  <si>
    <t>{12,011*12} + {1,0079*22} + {15,9994*11} [g/mol] =</t>
  </si>
  <si>
    <t>{12,011*2} + {1,0079*6} + {15,9994}  =</t>
  </si>
  <si>
    <t>y  +  x</t>
  </si>
  <si>
    <t>y  +  x =</t>
  </si>
  <si>
    <t xml:space="preserve">z  </t>
  </si>
  <si>
    <t>z =</t>
  </si>
  <si>
    <t>Total</t>
  </si>
  <si>
    <t xml:space="preserve">http://www.kokaerwine.dk/Gaersiden/Gaer%20etc.2.pdf </t>
  </si>
  <si>
    <t xml:space="preserve">http://www.lallemandwine.us/products/yeast_chart.php </t>
  </si>
  <si>
    <t xml:space="preserve">http://www.lallemandwine.us/products/nutrient_strains.php#Go-FERM </t>
  </si>
  <si>
    <t>Alcohol</t>
  </si>
  <si>
    <t>Lallemand dried yest</t>
  </si>
  <si>
    <t>Lalleman Go-Ferm</t>
  </si>
  <si>
    <r>
      <t>H</t>
    </r>
    <r>
      <rPr>
        <sz val="10"/>
        <color indexed="8"/>
        <rFont val="Arial"/>
        <family val="2"/>
      </rPr>
      <t>₂O</t>
    </r>
  </si>
  <si>
    <r>
      <t>C₁₂</t>
    </r>
    <r>
      <rPr>
        <sz val="10"/>
        <color indexed="8"/>
        <rFont val="Arial"/>
        <family val="2"/>
      </rPr>
      <t>H₂₂O₁₁</t>
    </r>
  </si>
  <si>
    <r>
      <t>C</t>
    </r>
    <r>
      <rPr>
        <sz val="10"/>
        <color indexed="8"/>
        <rFont val="Arial"/>
        <family val="2"/>
      </rPr>
      <t>₂H₆O</t>
    </r>
  </si>
  <si>
    <r>
      <t>CO</t>
    </r>
    <r>
      <rPr>
        <sz val="10"/>
        <color indexed="8"/>
        <rFont val="Arial"/>
        <family val="2"/>
      </rPr>
      <t>₂</t>
    </r>
  </si>
  <si>
    <t>V = n*R*T / p</t>
  </si>
  <si>
    <t>Carbon dioxide</t>
  </si>
  <si>
    <t>Attuned reaction scheme:</t>
  </si>
  <si>
    <t>Current amount in grams:</t>
  </si>
  <si>
    <t>Theoretical amounts:</t>
  </si>
  <si>
    <t>Theoretical quantity of alcohol:</t>
  </si>
  <si>
    <t>Carbon</t>
  </si>
  <si>
    <t>Hydrogen</t>
  </si>
  <si>
    <t>Oxygen</t>
  </si>
  <si>
    <t>Water</t>
  </si>
  <si>
    <t>Sugar</t>
  </si>
  <si>
    <t>substance</t>
  </si>
  <si>
    <t>Msubstance</t>
  </si>
  <si>
    <t>Practical quantity of carbon dioxide</t>
  </si>
  <si>
    <t>Practical quantity of alcohol</t>
  </si>
  <si>
    <t>Sugar gram/liter</t>
  </si>
  <si>
    <t>Measured</t>
  </si>
  <si>
    <t>Desired</t>
  </si>
  <si>
    <t>Same molar mass on both sides:</t>
  </si>
  <si>
    <t>kg sugar</t>
  </si>
  <si>
    <t>My home page</t>
  </si>
  <si>
    <t>Residual sugar in wine</t>
  </si>
  <si>
    <t>Theoretical quantity of carbon dioxide:</t>
  </si>
  <si>
    <t>Theoretical</t>
  </si>
  <si>
    <t>Practical</t>
  </si>
  <si>
    <t>Ambient temperature [°C]</t>
  </si>
  <si>
    <t>Ambient pressure [Pascal]</t>
  </si>
  <si>
    <t>The periodic system</t>
  </si>
  <si>
    <t>In liter</t>
  </si>
  <si>
    <t>In kg</t>
  </si>
  <si>
    <t>Density [kg/l]</t>
  </si>
  <si>
    <r>
      <t>Boiling point [</t>
    </r>
    <r>
      <rPr>
        <sz val="10"/>
        <color indexed="8"/>
        <rFont val="Arial"/>
        <family val="2"/>
      </rPr>
      <t>°C]</t>
    </r>
  </si>
  <si>
    <t>Calculate the volume of the produced carbon dioxide at temperature and pressure</t>
  </si>
  <si>
    <t>Ideal gas law = p*V = n*R*T</t>
  </si>
  <si>
    <t>ncarbon dioxide</t>
  </si>
  <si>
    <t>Calculated [m³]</t>
  </si>
  <si>
    <t>Amount of substance [mol]</t>
  </si>
  <si>
    <t>Gas constant [J/(mol*K)]</t>
  </si>
  <si>
    <r>
      <t>Converted into liters of CO</t>
    </r>
    <r>
      <rPr>
        <sz val="10"/>
        <color rgb="FF333333"/>
        <rFont val="Calibri"/>
        <family val="2"/>
      </rPr>
      <t>₂</t>
    </r>
  </si>
  <si>
    <t>Add Sugar in kg</t>
  </si>
  <si>
    <t>Equivalent amounts of substances in g</t>
  </si>
  <si>
    <t>Current quantities in grams</t>
  </si>
  <si>
    <t>(msugar/342,2992) * 176,0392  =</t>
  </si>
  <si>
    <t>(msugar/342,2992) *184,2750 =</t>
  </si>
  <si>
    <t>carbon dioxide + alcohol =</t>
  </si>
  <si>
    <t xml:space="preserve"> y  +  x  -  g sugar =</t>
  </si>
  <si>
    <t>molar mass</t>
  </si>
  <si>
    <t>Mmolar mass [g/mol]</t>
  </si>
  <si>
    <t>moles=g(by mass)/Mmolar mass</t>
  </si>
  <si>
    <t>Brugen af ​​GO-FERM ® medfører betydeligt bedre generelle sundhed af gærceller gennem-out gæring, der påvirker gærings kinetik og resulterer i en renere aromatisk profil.</t>
  </si>
  <si>
    <t>Increase vol % with</t>
  </si>
  <si>
    <t>°Oechsle</t>
  </si>
  <si>
    <t>°Brix</t>
  </si>
  <si>
    <t>°Balling</t>
  </si>
  <si>
    <t>°NM</t>
  </si>
  <si>
    <r>
      <rPr>
        <sz val="14"/>
        <color theme="1"/>
        <rFont val="Calibri"/>
        <family val="2"/>
      </rPr>
      <t>°</t>
    </r>
    <r>
      <rPr>
        <sz val="14"/>
        <color theme="1"/>
        <rFont val="Arial"/>
        <family val="2"/>
      </rPr>
      <t>KMW</t>
    </r>
  </si>
  <si>
    <r>
      <rPr>
        <sz val="14"/>
        <color theme="1"/>
        <rFont val="Calibri"/>
        <family val="2"/>
      </rPr>
      <t>°</t>
    </r>
    <r>
      <rPr>
        <sz val="14"/>
        <color theme="1"/>
        <rFont val="Arial"/>
        <family val="2"/>
      </rPr>
      <t>Baume</t>
    </r>
  </si>
  <si>
    <r>
      <rPr>
        <sz val="14"/>
        <color theme="1"/>
        <rFont val="Calibri"/>
        <family val="2"/>
      </rPr>
      <t>°</t>
    </r>
    <r>
      <rPr>
        <sz val="14"/>
        <color theme="1"/>
        <rFont val="Arial"/>
        <family val="2"/>
      </rPr>
      <t>Oechsle</t>
    </r>
  </si>
  <si>
    <t>Density</t>
  </si>
  <si>
    <t>°Oechsle at 20 °C</t>
  </si>
  <si>
    <t>°KMW</t>
  </si>
  <si>
    <t>Select the scale for sugar</t>
  </si>
  <si>
    <t>See the values ​​of other units</t>
  </si>
  <si>
    <t>men endnu vigtigere, det identificerede den mest effektive måde at sikre, at disse mikronæringsstoffer gavne den valgte gær.</t>
  </si>
  <si>
    <t>Lallemand's samarbejde med INRA i Montpellier og andre institutter over hele verden har bekræftet den kritiske rolle af gær mikronæringsstoffer,</t>
  </si>
  <si>
    <t>Resultatet af denne forskning er udviklingen af ​​GO-FERM ®, en naturlig gær næringsstof for at undgå træge og stak forgæring.</t>
  </si>
  <si>
    <t>GO-FERM ® er specifik inaktiv gær fremstilles ved en unik gær biomasse proces finjusteret for at opnå høje niveauer af visse vigtige vitaminer, mineraler og aminosyrer,</t>
  </si>
  <si>
    <t>der er nødvendige for en sund gær forgæring.</t>
  </si>
  <si>
    <t>GO-FERM ® tilgang er at tilvejebringe biotilgængelige mikronæringsstoffer i den ikke-stresset miljø af gær rehydratisering vand i stedet for den traditionelle metode til tilsætning mikronæringsstoffer til mosten.</t>
  </si>
  <si>
    <t>Under rehydrering, virker gæren som en svamp, suge GO-FERM ® 's biotilgængelige næringsstoffer.</t>
  </si>
  <si>
    <t>Denne direkte kontakt mellem GO-FERM ® og gæren i fravær af must matrix undgår chelatering af vigtige mineraler af uorganiske anioner, organiske syrer, polyphenoler og polysaccharider, der findes i most.</t>
  </si>
  <si>
    <t>Det forhindrer også vigtige vitaminer i at blive hurtigt taget op af den konkurrencemæssige vild mikroflora eller inaktiveres af SO2.</t>
  </si>
  <si>
    <t>Ved at gøre vigtige mineraler og vitaminer til rådighed for den valgte gær ved den kritiske begyndelsen af ​​sin stressende opgave, udfør gærens levedygtighed stigninger og forgæring stærkere.</t>
  </si>
  <si>
    <t>Doseringsvejledning: Brug 30 g / hl (2,4 pounds/1000 gal) af GO-FERM ®, når rehydrerende gær til at levere vigtige mikronæringsstoffer.</t>
  </si>
  <si>
    <t>Bemærk: Denne anbefaling er baseret på et gærinokulum på 25 g / hl (2 pounds/1000 gal). Hvis du bruger mere eller mindre gær, respektere et forhold på 1 del gær: 1,25 dele GO-FERM ®.</t>
  </si>
  <si>
    <t>Vigtigt: BRUG ALDRIG NÆRINGSSTOFFER indeholdende ammoniak salte, såsom DAP UNDER GÆR rehydrering - de er giftige for gæren på et højt niveau!</t>
  </si>
  <si>
    <t>The time is dependent on the amount of sugar, temperature and the yeast used. The yeast must have something to live on - GO-FERM ® - see how you do on this website:</t>
  </si>
  <si>
    <t>A catalyst (yeast) starts the process without having to take part in the reaction. The mixture must be kept warm - 27 ° C - and ferment for at least 3 weeks without air inlet. Anaerobic process.</t>
  </si>
  <si>
    <t>Common unbleached cane sugar (sucrose) is boiled to a syrup, which it converted into grape sugar (glucose). The yeast is easier to convert grape sugar than raw cane sugar.</t>
  </si>
  <si>
    <t>To calculate the volume of carbon dioxide the current temperature and pressure at the place must be indicated. Insert the values ​​in the yellow cells. 1 atmosphere = 101325 Pascal per. definition.</t>
  </si>
  <si>
    <t>at the temperature at which hydrometeret been calibrated. Typically 20 ° C.</t>
  </si>
  <si>
    <t xml:space="preserve">http://en.wikipedia.org/wiki/Gravity_(beer) </t>
  </si>
  <si>
    <t xml:space="preserve">http://www.crcv.com.au/resources/Grape%20and%20Wine%20Quality/Workshop%20Notes/Measuring%20Baume.pdf </t>
  </si>
  <si>
    <t xml:space="preserve">http://www.monashscientific.com.au/Baume.htm </t>
  </si>
  <si>
    <t>g/100g</t>
  </si>
  <si>
    <t xml:space="preserve">http://ebrew.com/primarynews/misc_winemaking_charts.htm </t>
  </si>
  <si>
    <t>2,5 g/10 l grape juice</t>
  </si>
  <si>
    <t>3 g/10 l grape juice</t>
  </si>
  <si>
    <t>The grape juice should be around 27 °C before the yeast with - GO-FERM ® - mixed in the grape juice. If you want to add extra sugar, it must be boiled with a little water/grape juice to a syrup before it met the grape juice.</t>
  </si>
  <si>
    <t>The grape juice/water is a medium in which fermentation occurs, and therefore participates in reaction to a lesser degree, but the entire amount of liquid be used to calculate vol % alcohol. Most yeast cells dies at 16% vol.</t>
  </si>
  <si>
    <t>Oechsle weight is a measure of sugar dissolved in grape juice/water for beer and wine production. The value 1.000 indicates pure water and 1.100 indicates 243 grams of sugar per liter of grape juice/water</t>
  </si>
  <si>
    <t>In all yellow cells insert your values​​. In the red cells - drop down list - select a value from the list. The green cells are the calculated values. Pay attention to the red text that comes up at wrong entries.</t>
  </si>
  <si>
    <t>Table comparing grape juice values</t>
  </si>
  <si>
    <t>Constants</t>
  </si>
  <si>
    <t>Dry sugar consists of sucrose (cane sugar), which can be cleaved to glucose (grape sugar).</t>
  </si>
  <si>
    <t>This does not take into account that sugar also takes up some space when dissolved in grape juice/water. 1000 grams of sugar is approx. 630 mL of grape juice/water.</t>
  </si>
  <si>
    <t>By dividing Oechsle degrees with 7.2 you get alcohol content.  80 °Oe/7.2 = 11.11% alcohol.</t>
  </si>
  <si>
    <t>As a rule of thumb one can say that 10 grams of sugar per 1000 grams grape juice/water provides a 0.66 vol% alcohol, when all the sugar is fully fermented.</t>
  </si>
  <si>
    <t>The site is in Danish.</t>
  </si>
  <si>
    <t>The text below has been translated from the original English text on the website:</t>
  </si>
  <si>
    <t>Vælg den bedste gær til din most:</t>
  </si>
  <si>
    <t>Na</t>
  </si>
  <si>
    <t>Fe</t>
  </si>
  <si>
    <t>Cl</t>
  </si>
  <si>
    <t>NaCl</t>
  </si>
  <si>
    <r>
      <t>FeCl</t>
    </r>
    <r>
      <rPr>
        <sz val="10"/>
        <color indexed="8"/>
        <rFont val="Arial"/>
        <family val="2"/>
      </rPr>
      <t>₃</t>
    </r>
  </si>
  <si>
    <t xml:space="preserve">http://www.frividen.dk/default.aspx </t>
  </si>
  <si>
    <t>m</t>
  </si>
  <si>
    <t xml:space="preserve">      n                 M</t>
  </si>
  <si>
    <t>n</t>
  </si>
  <si>
    <t xml:space="preserve">      C                 V</t>
  </si>
  <si>
    <t>C =</t>
  </si>
  <si>
    <t>n/V</t>
  </si>
  <si>
    <t>[mol/l]</t>
  </si>
  <si>
    <t>mol</t>
  </si>
  <si>
    <t>Salt %</t>
  </si>
  <si>
    <t>ρ [rho]</t>
  </si>
  <si>
    <t>g/ml</t>
  </si>
  <si>
    <t>m = n * M</t>
  </si>
  <si>
    <t>K-(K/ρ)</t>
  </si>
  <si>
    <t>°Baume</t>
  </si>
  <si>
    <t>°Baume max</t>
  </si>
  <si>
    <t>FeCl₃</t>
  </si>
  <si>
    <t>Cl₃</t>
  </si>
  <si>
    <t xml:space="preserve"> kg </t>
  </si>
  <si>
    <t>{22,9898} + {35,453} =</t>
  </si>
  <si>
    <t>{55,847} + {35,453*3} =</t>
  </si>
  <si>
    <t>Chlorine</t>
  </si>
  <si>
    <t>Iron</t>
  </si>
  <si>
    <t>Sodium</t>
  </si>
  <si>
    <t>Ferric Chloride</t>
  </si>
  <si>
    <t xml:space="preserve"> and Gram </t>
  </si>
  <si>
    <t xml:space="preserve"> is in </t>
  </si>
  <si>
    <t xml:space="preserve"> grams of the substance?</t>
  </si>
  <si>
    <t>Sodium Chloride</t>
  </si>
  <si>
    <t xml:space="preserve"> of the substance dissolved in </t>
  </si>
  <si>
    <t xml:space="preserve"> liters of water?</t>
  </si>
  <si>
    <t xml:space="preserve">What is the concentration of </t>
  </si>
  <si>
    <t>Carbon Dioxide</t>
  </si>
  <si>
    <t xml:space="preserve">How many grams </t>
  </si>
  <si>
    <t>Water, in liters, at 4 ° C = 1,000 grams</t>
  </si>
  <si>
    <t>Substance in grams</t>
  </si>
  <si>
    <t>nsubstance</t>
  </si>
  <si>
    <t>Substance</t>
  </si>
  <si>
    <t>nsubstance =</t>
  </si>
  <si>
    <t>msub./Msub.</t>
  </si>
  <si>
    <t>Weight %</t>
  </si>
  <si>
    <t>Molar</t>
  </si>
  <si>
    <t>The mass is constant</t>
  </si>
  <si>
    <t>gram substance</t>
  </si>
  <si>
    <t>m = mass in grams</t>
  </si>
  <si>
    <t>n = number of moles (amount of substance)</t>
  </si>
  <si>
    <t>M = molar mass [g / mol]</t>
  </si>
  <si>
    <t>Formulas for the 2 triangles</t>
  </si>
  <si>
    <t>C = concentration [molar = mol/l]</t>
  </si>
  <si>
    <t>V=volume in liters</t>
  </si>
  <si>
    <t>Molecular</t>
  </si>
  <si>
    <t>Molar Mass</t>
  </si>
  <si>
    <t xml:space="preserve">http://www.vinavisen.dk/sider/Vinbog_01 </t>
  </si>
  <si>
    <t xml:space="preserve">http://www.vinometric.dk/pdf/Sukker&amp;Alk.pdf </t>
  </si>
  <si>
    <t xml:space="preserve">http://www.karolineamalie.dk/index.php?id=4474 </t>
  </si>
  <si>
    <t>Sweet more than:</t>
  </si>
  <si>
    <t>Residual sugar in sparkling wine</t>
  </si>
  <si>
    <t>Dry</t>
  </si>
  <si>
    <t>Demi-Sec:</t>
  </si>
  <si>
    <t>Brut Nature up to:</t>
  </si>
  <si>
    <t>12 to 17</t>
  </si>
  <si>
    <t>17 to 32</t>
  </si>
  <si>
    <t>32 to 50</t>
  </si>
  <si>
    <t>Extra Brut up to:</t>
  </si>
  <si>
    <t>Brut up to:</t>
  </si>
  <si>
    <t>Extra Dry</t>
  </si>
  <si>
    <t xml:space="preserve">http://en.wikipedia.org/wiki/Sweetness_of_wine#Residual_sugar </t>
  </si>
  <si>
    <t xml:space="preserve">http://en.wikipedia.org/wiki/Plato_scale#By_strength </t>
  </si>
  <si>
    <t xml:space="preserve">http://en.wikipedia.org/wiki/Brix </t>
  </si>
  <si>
    <t>°Plato</t>
  </si>
  <si>
    <t>°Bx = (((182.4601*S -775.6821)*S +1262.7794)*S -669.5622)</t>
  </si>
  <si>
    <t>°P = (((135.997*S - 630.272)*S + 1111.14)*S - 616.868)</t>
  </si>
  <si>
    <t>The constants apply to the following units:</t>
  </si>
  <si>
    <t xml:space="preserve">http://en.wikipedia.org/wiki/Distilled_beverage </t>
  </si>
  <si>
    <t>Blandes 52,3 vol alkohol med 47,7 vol vand, kunne man forvente at få 100 vol mixture. Men man får kun 96,35 vol mixture. I % 96,35% af alkohol og vand før de blev blandet.</t>
  </si>
  <si>
    <t>1 mol</t>
  </si>
  <si>
    <t>4 mol</t>
  </si>
  <si>
    <t>kg/l</t>
  </si>
  <si>
    <t xml:space="preserve">http://www.sugartech.co.za/density/index.php </t>
  </si>
  <si>
    <t xml:space="preserve">http://en.wikipedia.org/wiki/Granulated_sugar#Granulated </t>
  </si>
  <si>
    <t>% use of sugar</t>
  </si>
  <si>
    <t>Sweet wine more than 46 g/l</t>
  </si>
  <si>
    <t>Modulus</t>
  </si>
  <si>
    <t xml:space="preserve">www.walter-lystfisker.dk </t>
  </si>
  <si>
    <t xml:space="preserve">http://www.allafrance.com/content/hydrometers-correspondences-and-conversions-p-15-0.html </t>
  </si>
  <si>
    <t>Hydrometer 0300FG030/15-qp</t>
  </si>
  <si>
    <t>K</t>
  </si>
  <si>
    <t>Hydrometer</t>
  </si>
  <si>
    <t>°Baumé</t>
  </si>
  <si>
    <t>Density of sugar</t>
  </si>
  <si>
    <t>Home Page</t>
  </si>
  <si>
    <t>Potentiel alcohol vol%</t>
  </si>
  <si>
    <t>Must density</t>
  </si>
  <si>
    <t>The measurements were performed at 20 ° C</t>
  </si>
  <si>
    <r>
      <rPr>
        <sz val="12"/>
        <color rgb="FFFF0000"/>
        <rFont val="Calibri"/>
        <family val="2"/>
      </rPr>
      <t>°</t>
    </r>
    <r>
      <rPr>
        <sz val="12"/>
        <color rgb="FFFF0000"/>
        <rFont val="Arial"/>
        <family val="2"/>
      </rPr>
      <t>Oechsle</t>
    </r>
  </si>
  <si>
    <r>
      <rPr>
        <sz val="12"/>
        <color rgb="FF333333"/>
        <rFont val="Calibri"/>
        <family val="2"/>
      </rPr>
      <t>°</t>
    </r>
    <r>
      <rPr>
        <sz val="12"/>
        <color rgb="FF333333"/>
        <rFont val="Arial"/>
        <family val="2"/>
      </rPr>
      <t>Oechsle is used in Germany and indicates the relative density to water at 20 °C</t>
    </r>
  </si>
  <si>
    <t>Weight mixture grams</t>
  </si>
  <si>
    <t>Volume mixture ml</t>
  </si>
  <si>
    <t>Sugar weight in %</t>
  </si>
  <si>
    <t>Density g/ml</t>
  </si>
  <si>
    <t>The ideal strength of wine fermentation is between 8 and 13 °Baume at 20 °C</t>
  </si>
  <si>
    <t>There is a loss by fermentation of sugar. A good result is 88% efficiency</t>
  </si>
  <si>
    <t>The ideal strength for wine fermentation is between 60 and 100 °Oechsle at 20 °C</t>
  </si>
  <si>
    <t>Sugar solubility in 1 liter of water: 259 g at 50 °C, 325 g at 70 °C and 420 g at 90 °C</t>
  </si>
  <si>
    <t>1 liter of demineralized water, weighs 1000 grams at 4 °C</t>
  </si>
  <si>
    <t>Temperature °C</t>
  </si>
  <si>
    <t>gr sugar/100 ml water</t>
  </si>
  <si>
    <t>Sugar solubility in water as a function of temperature</t>
  </si>
  <si>
    <t>Sugar in ml</t>
  </si>
  <si>
    <t>Must calculated in ml</t>
  </si>
  <si>
    <r>
      <t>g/cm</t>
    </r>
    <r>
      <rPr>
        <sz val="12"/>
        <rFont val="Calibri"/>
        <family val="2"/>
      </rPr>
      <t>³</t>
    </r>
  </si>
  <si>
    <t>Sucrose crystal sugar</t>
  </si>
  <si>
    <t xml:space="preserve">http://www.musther.net/vinocalc.html#sgconversion </t>
  </si>
  <si>
    <t>at 20 °C [SG]</t>
  </si>
  <si>
    <r>
      <t xml:space="preserve">at 20 </t>
    </r>
    <r>
      <rPr>
        <sz val="14"/>
        <color theme="1"/>
        <rFont val="Calibri"/>
        <family val="2"/>
      </rPr>
      <t>°</t>
    </r>
    <r>
      <rPr>
        <sz val="14"/>
        <color theme="1"/>
        <rFont val="Arial"/>
        <family val="2"/>
      </rPr>
      <t>C</t>
    </r>
  </si>
  <si>
    <t>145-(145/SG)</t>
  </si>
  <si>
    <t>See Con.</t>
  </si>
  <si>
    <r>
      <rPr>
        <sz val="14"/>
        <rFont val="Calibri"/>
        <family val="2"/>
      </rPr>
      <t>°</t>
    </r>
    <r>
      <rPr>
        <sz val="14"/>
        <rFont val="Arial"/>
        <family val="2"/>
      </rPr>
      <t>Plato</t>
    </r>
  </si>
  <si>
    <t>1000*(SG-1)</t>
  </si>
  <si>
    <r>
      <rPr>
        <sz val="12"/>
        <rFont val="Calibri"/>
        <family val="2"/>
      </rPr>
      <t>°</t>
    </r>
    <r>
      <rPr>
        <sz val="12"/>
        <rFont val="Arial"/>
        <family val="2"/>
      </rPr>
      <t>NM</t>
    </r>
  </si>
  <si>
    <r>
      <rPr>
        <sz val="12"/>
        <rFont val="Calibri"/>
        <family val="2"/>
      </rPr>
      <t>°</t>
    </r>
    <r>
      <rPr>
        <sz val="12"/>
        <rFont val="Arial"/>
        <family val="2"/>
      </rPr>
      <t xml:space="preserve">Oe = 3,845 * </t>
    </r>
    <r>
      <rPr>
        <sz val="12"/>
        <rFont val="Calibri"/>
        <family val="2"/>
      </rPr>
      <t>°</t>
    </r>
    <r>
      <rPr>
        <sz val="12"/>
        <rFont val="Arial"/>
        <family val="2"/>
      </rPr>
      <t>NM + 10,8</t>
    </r>
  </si>
  <si>
    <r>
      <rPr>
        <sz val="12"/>
        <rFont val="Calibri"/>
        <family val="2"/>
      </rPr>
      <t>°</t>
    </r>
    <r>
      <rPr>
        <sz val="12"/>
        <rFont val="Arial"/>
        <family val="2"/>
      </rPr>
      <t xml:space="preserve">KMW = 0,732 * </t>
    </r>
    <r>
      <rPr>
        <sz val="12"/>
        <rFont val="Calibri"/>
        <family val="2"/>
      </rPr>
      <t>°</t>
    </r>
    <r>
      <rPr>
        <sz val="12"/>
        <rFont val="Arial"/>
        <family val="2"/>
      </rPr>
      <t>NM + 3,2</t>
    </r>
  </si>
  <si>
    <r>
      <rPr>
        <sz val="12"/>
        <rFont val="Calibri"/>
        <family val="2"/>
      </rPr>
      <t xml:space="preserve">°Be = </t>
    </r>
    <r>
      <rPr>
        <sz val="12"/>
        <rFont val="Arial"/>
        <family val="2"/>
      </rPr>
      <t>K - ( K / rho )</t>
    </r>
  </si>
  <si>
    <t>(1,646 * Bx) - 2,703 * (145 - (145/SG) - 1,794</t>
  </si>
  <si>
    <t>Bx</t>
  </si>
  <si>
    <t>SG</t>
  </si>
  <si>
    <t>Brix - Alkohol vol% =</t>
  </si>
  <si>
    <t>alkohol %</t>
  </si>
  <si>
    <t>%</t>
  </si>
  <si>
    <t>alcohol vol %</t>
  </si>
  <si>
    <t>grams / liter</t>
  </si>
  <si>
    <r>
      <rPr>
        <sz val="12"/>
        <rFont val="Calibri"/>
        <family val="2"/>
      </rPr>
      <t>°</t>
    </r>
    <r>
      <rPr>
        <sz val="12"/>
        <rFont val="Arial"/>
        <family val="2"/>
      </rPr>
      <t>Baume</t>
    </r>
  </si>
  <si>
    <t>Sugar loss by fermentation: success 12% - average 20% - poor 24%</t>
  </si>
  <si>
    <t xml:space="preserve"> %</t>
  </si>
  <si>
    <t>g / liter must</t>
  </si>
  <si>
    <t>Potentiel vol%</t>
  </si>
  <si>
    <t>Dissolved sugar</t>
  </si>
  <si>
    <r>
      <t xml:space="preserve">determination at 20 </t>
    </r>
    <r>
      <rPr>
        <sz val="12"/>
        <rFont val="Calibri"/>
        <family val="2"/>
      </rPr>
      <t>°</t>
    </r>
    <r>
      <rPr>
        <sz val="12"/>
        <rFont val="Arial"/>
        <family val="2"/>
      </rPr>
      <t>C</t>
    </r>
  </si>
  <si>
    <t>Theoretical vol%</t>
  </si>
  <si>
    <t>Sugar in gram / Liter</t>
  </si>
  <si>
    <t>Must ml</t>
  </si>
  <si>
    <r>
      <rPr>
        <sz val="12"/>
        <color rgb="FFFF0000"/>
        <rFont val="Calibri"/>
        <family val="2"/>
      </rPr>
      <t>°</t>
    </r>
    <r>
      <rPr>
        <sz val="12"/>
        <color rgb="FFFF0000"/>
        <rFont val="Arial"/>
        <family val="2"/>
      </rPr>
      <t>Brix</t>
    </r>
  </si>
  <si>
    <t>Sugar mixture in % by weight = grams of sugar / gram of mixture [%]</t>
  </si>
  <si>
    <t>Density ρ [rho] = g mixture / volume mixture</t>
  </si>
  <si>
    <t>°Baume is an American unit = K - (K / rho)</t>
  </si>
  <si>
    <t>Measure 1000 ml of grape must and</t>
  </si>
  <si>
    <r>
      <t xml:space="preserve">determine the </t>
    </r>
    <r>
      <rPr>
        <sz val="12"/>
        <color rgb="FF333333"/>
        <rFont val="Calibri"/>
        <family val="2"/>
      </rPr>
      <t>°</t>
    </r>
    <r>
      <rPr>
        <sz val="12"/>
        <color rgb="FF333333"/>
        <rFont val="Arial"/>
        <family val="2"/>
      </rPr>
      <t>Oecgsle degrees</t>
    </r>
  </si>
  <si>
    <t>Dissolved solids [gram sucrose] as a function of Oechsle degrees in a grape must</t>
  </si>
  <si>
    <t>kg/100 liter</t>
  </si>
  <si>
    <t>kg/100 kg</t>
  </si>
  <si>
    <t>When the grapes are ripe, the sugar content consists almost exclusively of 50% glucose and 50% fructose. Almost no Sucrose, only as capitalized sugar</t>
  </si>
  <si>
    <t xml:space="preserve">http://en.wikipedia.org/wiki/Chaptalisation </t>
  </si>
  <si>
    <t>Measured value in grape must</t>
  </si>
  <si>
    <t>Calculating alcohol [kg] and carbon dioxide [kg] by a fermentation process with grape must or pulp and capitalized sugar [kg] with dried yeast and Go-Ferm for wine production</t>
  </si>
  <si>
    <t>Grape must</t>
  </si>
  <si>
    <r>
      <rPr>
        <sz val="10"/>
        <color theme="1"/>
        <rFont val="Calibri"/>
        <family val="2"/>
      </rPr>
      <t>°</t>
    </r>
    <r>
      <rPr>
        <sz val="10"/>
        <color theme="1"/>
        <rFont val="Arial"/>
        <family val="2"/>
      </rPr>
      <t>Oechsle</t>
    </r>
  </si>
  <si>
    <t>Theoretical alcohol vol%</t>
  </si>
  <si>
    <t xml:space="preserve">The ideal strength of wine fermentation is between 10 and 16 vol% of alcohol, without capitalized sugar </t>
  </si>
  <si>
    <r>
      <t xml:space="preserve">Calculation of weight %, density ρ [rho], </t>
    </r>
    <r>
      <rPr>
        <b/>
        <sz val="12"/>
        <color rgb="FF333333"/>
        <rFont val="Calibri"/>
        <family val="2"/>
      </rPr>
      <t>°</t>
    </r>
    <r>
      <rPr>
        <b/>
        <sz val="10.8"/>
        <color rgb="FF333333"/>
        <rFont val="Arial"/>
        <family val="2"/>
      </rPr>
      <t xml:space="preserve">Oechsle, </t>
    </r>
    <r>
      <rPr>
        <b/>
        <sz val="12"/>
        <color rgb="FF333333"/>
        <rFont val="Arial"/>
        <family val="2"/>
      </rPr>
      <t xml:space="preserve">°Baume, </t>
    </r>
    <r>
      <rPr>
        <b/>
        <sz val="12"/>
        <color rgb="FF333333"/>
        <rFont val="Calibri"/>
        <family val="2"/>
      </rPr>
      <t>°</t>
    </r>
    <r>
      <rPr>
        <b/>
        <sz val="10.8"/>
        <color rgb="FF333333"/>
        <rFont val="Arial"/>
        <family val="2"/>
      </rPr>
      <t xml:space="preserve">Brix, </t>
    </r>
    <r>
      <rPr>
        <b/>
        <sz val="10.8"/>
        <color rgb="FF333333"/>
        <rFont val="Calibri"/>
        <family val="2"/>
      </rPr>
      <t>°</t>
    </r>
    <r>
      <rPr>
        <b/>
        <sz val="9.6999999999999993"/>
        <color rgb="FF333333"/>
        <rFont val="Arial"/>
        <family val="2"/>
      </rPr>
      <t xml:space="preserve">KMW </t>
    </r>
    <r>
      <rPr>
        <b/>
        <sz val="12"/>
        <color rgb="FF333333"/>
        <rFont val="Arial"/>
        <family val="2"/>
      </rPr>
      <t>and potential alcohol vol% of a solution of water and a certain amount af sugar in 1 liter total volume</t>
    </r>
  </si>
  <si>
    <t>Light beer</t>
  </si>
  <si>
    <t>Strong beer</t>
  </si>
  <si>
    <t>White wine</t>
  </si>
  <si>
    <t>Red wine</t>
  </si>
  <si>
    <t>Strong wines</t>
  </si>
  <si>
    <t>Der er altid et tab ved gæring af sukker, det betyder, at det ikke er muligt at opnå 100% alkohol, som angivet ovenfor. Et meget godt resultat er 88%. Middel resultat er 80%. Dårligt resultat er 72%.</t>
  </si>
  <si>
    <t>Website which should be visited</t>
  </si>
  <si>
    <t>COPYRIGHT © 2014</t>
  </si>
  <si>
    <t>Reactants: Water + Sugar</t>
  </si>
  <si>
    <t>Products: Carbon Dioxide + Alcohol (etanol)</t>
  </si>
  <si>
    <t>Sugar Total</t>
  </si>
  <si>
    <t>Exstra Dry wine from 0 g/l to 4 g/l</t>
  </si>
  <si>
    <t>Dry wine from 4 g/l to 9 g/l</t>
  </si>
  <si>
    <t>Medium Dry wine from 9 g/l to 12 g/l</t>
  </si>
  <si>
    <t>Medium wine from 12 g/l to 45 g/l</t>
  </si>
  <si>
    <t xml:space="preserve">http://www.yobrew.co.uk/fermentation.php </t>
  </si>
  <si>
    <t>Part 1 </t>
  </si>
  <si>
    <t>Aerobic (Oxygen is present) </t>
  </si>
  <si>
    <t>This is the initial rapid process where the yeast is doubling its colony size every four hours. </t>
  </si>
  <si>
    <t>(Usually 24-48 hours)</t>
  </si>
  <si>
    <t>Part 2 </t>
  </si>
  <si>
    <t>Anaerobic. (No oxygen present) </t>
  </si>
  <si>
    <t>Slower activity and the yeast focuses on converting sugar to alcohol rather that increasing the number of yeast cells. </t>
  </si>
  <si>
    <t>(This process can take from days to weeks depending on the yeast and the recipe)</t>
  </si>
  <si>
    <t>The normal, home brewing, fermentation is in two parts:</t>
  </si>
  <si>
    <r>
      <t xml:space="preserve">18 °C &lt; Temperature &lt; 24 </t>
    </r>
    <r>
      <rPr>
        <sz val="10"/>
        <color rgb="FF333333"/>
        <rFont val="Calibri"/>
        <family val="2"/>
      </rPr>
      <t>°</t>
    </r>
    <r>
      <rPr>
        <sz val="10"/>
        <color rgb="FF333333"/>
        <rFont val="Arial"/>
        <family val="2"/>
      </rPr>
      <t>C</t>
    </r>
  </si>
  <si>
    <t xml:space="preserve">http://www.yobrew.co.uk/stuck.php </t>
  </si>
  <si>
    <t xml:space="preserve">% utilization of sugar </t>
  </si>
  <si>
    <t xml:space="preserve">http://shop.vinolhobby.dk/category/turbogaeralkoholgaer-35/ </t>
  </si>
  <si>
    <t xml:space="preserve">https://da.wikipedia.org/wiki/Fusel </t>
  </si>
  <si>
    <t>Disse ligninger skal afstæmmes</t>
  </si>
  <si>
    <t>H:</t>
  </si>
  <si>
    <t>O:</t>
  </si>
  <si>
    <r>
      <rPr>
        <b/>
        <sz val="10"/>
        <color rgb="FFFF0000"/>
        <rFont val="Arial"/>
        <family val="2"/>
      </rPr>
      <t>4</t>
    </r>
    <r>
      <rPr>
        <sz val="10"/>
        <color theme="1"/>
        <rFont val="Arial"/>
        <family val="2"/>
      </rPr>
      <t>CO</t>
    </r>
    <r>
      <rPr>
        <sz val="10"/>
        <color indexed="8"/>
        <rFont val="Arial"/>
        <family val="2"/>
      </rPr>
      <t xml:space="preserve">₂  +  </t>
    </r>
    <r>
      <rPr>
        <b/>
        <sz val="10"/>
        <color rgb="FFFF0000"/>
        <rFont val="Arial"/>
        <family val="2"/>
      </rPr>
      <t>4</t>
    </r>
    <r>
      <rPr>
        <sz val="10"/>
        <color indexed="8"/>
        <rFont val="Arial"/>
        <family val="2"/>
      </rPr>
      <t>C₂H₆O</t>
    </r>
  </si>
  <si>
    <r>
      <t>H₂O  +  C₁₂</t>
    </r>
    <r>
      <rPr>
        <sz val="10"/>
        <color indexed="8"/>
        <rFont val="Arial"/>
        <family val="2"/>
      </rPr>
      <t>H₂₂O₁₁</t>
    </r>
  </si>
  <si>
    <t>C:</t>
  </si>
  <si>
    <t>Udarbejdet af Jørgen Walter ©</t>
  </si>
  <si>
    <t>Reaktanter</t>
  </si>
  <si>
    <t>Produkter</t>
  </si>
  <si>
    <t>°NM means Normalizovany Mustomer and is used in the former CSSR. Grading scale goes from 10 to 30 °NM (1 °NM = 1 kg sugar in 100 liters of grape must)</t>
  </si>
  <si>
    <t>°Balling is also used in the former CSSR and match (almost) the °Brix. 10 °Bx = 10 % sugar by weight</t>
  </si>
  <si>
    <t>°Brix is used in Italy, France, England, Canada and USA (1° Bx = 1% Brix = 1 g sugar in 100 g grape must. 1 gram sukker/100 grams liquid)</t>
  </si>
  <si>
    <t>°Oechsle is used in Germany and indicates the relative density to water at 20 °C. °Oe = (°SG -1) * 1000 eks. i.e. SG of 1.099 = 99 °Oe (SG = Specific Gravity)</t>
  </si>
  <si>
    <t>°Baume is occasionally used in France, USA and Australia by brewers. 1 °Baume = 1,8 °Brix</t>
  </si>
  <si>
    <t>°Baume hydrometers - for every 1 °C above 20 °C add 0,05 °Baume, for every 1 °C below 20 °C subtract 0,05 °Baume</t>
  </si>
  <si>
    <t>1 °Baume is roughly equivalent to 1 % alcohol when the wine is fully fermented</t>
  </si>
  <si>
    <t>°KMW means Klosterneburger Mostwaage and is used in Austria  (1 °KMW = 4,86 °Oe) - or ( 1 °KMW = 1,53 * °Baume)</t>
  </si>
  <si>
    <t>Reg.No.1242</t>
  </si>
</sst>
</file>

<file path=xl/styles.xml><?xml version="1.0" encoding="utf-8"?>
<styleSheet xmlns="http://schemas.openxmlformats.org/spreadsheetml/2006/main">
  <numFmts count="11">
    <numFmt numFmtId="43" formatCode="_ * #,##0.00_ ;_ * \-#,##0.00_ ;_ * &quot;-&quot;??_ ;_ @_ "/>
    <numFmt numFmtId="164" formatCode="0.0000"/>
    <numFmt numFmtId="165" formatCode="0.000"/>
    <numFmt numFmtId="166" formatCode="0.00000"/>
    <numFmt numFmtId="167" formatCode="#,##0.000000"/>
    <numFmt numFmtId="168" formatCode="0.0"/>
    <numFmt numFmtId="169" formatCode="0.0000;[Red]0.0000"/>
    <numFmt numFmtId="170" formatCode="0.0000000"/>
    <numFmt numFmtId="171" formatCode="0.000000000"/>
    <numFmt numFmtId="172" formatCode="_ * #,##0.000_ ;_ * \-#,##0.000_ ;_ * &quot;-&quot;???_ ;_ @_ "/>
    <numFmt numFmtId="173" formatCode="0.000000%"/>
  </numFmts>
  <fonts count="67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rgb="FFFF0000"/>
      <name val="Arial"/>
      <family val="2"/>
    </font>
    <font>
      <sz val="14"/>
      <color theme="1"/>
      <name val="Arial"/>
      <family val="2"/>
    </font>
    <font>
      <sz val="10"/>
      <color rgb="FF333333"/>
      <name val="Arial"/>
      <family val="2"/>
    </font>
    <font>
      <sz val="10"/>
      <color theme="1"/>
      <name val="Arial"/>
      <family val="2"/>
    </font>
    <font>
      <b/>
      <sz val="12"/>
      <color rgb="FFFF0000"/>
      <name val="Arial"/>
      <family val="2"/>
    </font>
    <font>
      <sz val="10"/>
      <color indexed="8"/>
      <name val="Arial"/>
      <family val="2"/>
    </font>
    <font>
      <sz val="12"/>
      <color theme="1"/>
      <name val="Arial"/>
      <family val="2"/>
    </font>
    <font>
      <u/>
      <sz val="12"/>
      <color theme="10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sz val="10"/>
      <color theme="0" tint="-0.14999847407452621"/>
      <name val="Arial"/>
      <family val="2"/>
    </font>
    <font>
      <sz val="12"/>
      <color rgb="FF333333"/>
      <name val="Arial"/>
      <family val="2"/>
    </font>
    <font>
      <sz val="14"/>
      <color theme="1"/>
      <name val="Calibri"/>
      <family val="2"/>
    </font>
    <font>
      <sz val="10"/>
      <color rgb="FF333333"/>
      <name val="Calibri"/>
      <family val="2"/>
    </font>
    <font>
      <sz val="10"/>
      <color rgb="FF00B050"/>
      <name val="Arial"/>
      <family val="2"/>
    </font>
    <font>
      <sz val="10"/>
      <color rgb="FF0070C0"/>
      <name val="Arial"/>
      <family val="2"/>
    </font>
    <font>
      <sz val="10"/>
      <color theme="1"/>
      <name val="Calibri"/>
      <family val="2"/>
      <scheme val="minor"/>
    </font>
    <font>
      <sz val="10"/>
      <color theme="0" tint="-4.9989318521683403E-2"/>
      <name val="Arial"/>
      <family val="2"/>
    </font>
    <font>
      <u/>
      <sz val="10"/>
      <color theme="0" tint="-4.9989318521683403E-2"/>
      <name val="Arial"/>
      <family val="2"/>
    </font>
    <font>
      <sz val="10"/>
      <color rgb="FF7030A0"/>
      <name val="Arial"/>
      <family val="2"/>
    </font>
    <font>
      <sz val="12"/>
      <name val="Arial"/>
      <family val="2"/>
    </font>
    <font>
      <sz val="12"/>
      <name val="Calibri"/>
      <family val="2"/>
    </font>
    <font>
      <sz val="12"/>
      <color rgb="FFFF0000"/>
      <name val="Arial"/>
      <family val="2"/>
    </font>
    <font>
      <sz val="12"/>
      <color theme="0" tint="-4.9989318521683403E-2"/>
      <name val="Arial"/>
      <family val="2"/>
    </font>
    <font>
      <b/>
      <sz val="18"/>
      <color theme="1"/>
      <name val="Arial"/>
      <family val="2"/>
    </font>
    <font>
      <sz val="12"/>
      <color rgb="FF333333"/>
      <name val="Calibri"/>
      <family val="2"/>
    </font>
    <font>
      <u/>
      <sz val="14"/>
      <color theme="3"/>
      <name val="Arial"/>
      <family val="2"/>
    </font>
    <font>
      <sz val="14"/>
      <name val="Arial"/>
      <family val="2"/>
    </font>
    <font>
      <sz val="11"/>
      <color theme="1"/>
      <name val="Arial"/>
      <family val="2"/>
    </font>
    <font>
      <b/>
      <sz val="12"/>
      <color rgb="FF333333"/>
      <name val="Arial"/>
      <family val="2"/>
    </font>
    <font>
      <sz val="12"/>
      <color rgb="FFFF0000"/>
      <name val="Calibri"/>
      <family val="2"/>
    </font>
    <font>
      <b/>
      <sz val="12"/>
      <color rgb="FF333333"/>
      <name val="Calibri"/>
      <family val="2"/>
    </font>
    <font>
      <b/>
      <sz val="10.8"/>
      <color rgb="FF333333"/>
      <name val="Arial"/>
      <family val="2"/>
    </font>
    <font>
      <sz val="14"/>
      <name val="Calibri"/>
      <family val="2"/>
    </font>
    <font>
      <sz val="14"/>
      <color rgb="FF333333"/>
      <name val="Arial"/>
      <family val="2"/>
    </font>
    <font>
      <sz val="12"/>
      <color rgb="FF000000"/>
      <name val="Arial"/>
      <family val="2"/>
    </font>
    <font>
      <u/>
      <sz val="14"/>
      <color theme="10"/>
      <name val="Arial"/>
      <family val="2"/>
    </font>
    <font>
      <b/>
      <sz val="10.8"/>
      <color rgb="FF333333"/>
      <name val="Calibri"/>
      <family val="2"/>
    </font>
    <font>
      <b/>
      <sz val="9.6999999999999993"/>
      <color rgb="FF333333"/>
      <name val="Arial"/>
      <family val="2"/>
    </font>
    <font>
      <sz val="11"/>
      <color theme="0" tint="-4.9989318521683403E-2"/>
      <name val="Arial"/>
      <family val="2"/>
    </font>
    <font>
      <sz val="10"/>
      <color theme="1"/>
      <name val="Calibri"/>
      <family val="2"/>
    </font>
    <font>
      <b/>
      <sz val="16"/>
      <name val="Arial"/>
      <family val="2"/>
    </font>
    <font>
      <b/>
      <sz val="16"/>
      <color theme="1"/>
      <name val="Arial"/>
      <family val="2"/>
    </font>
    <font>
      <b/>
      <sz val="14"/>
      <color rgb="FFFF0000"/>
      <name val="Calibri"/>
      <family val="2"/>
      <scheme val="minor"/>
    </font>
    <font>
      <b/>
      <sz val="10"/>
      <color rgb="FFFF0000"/>
      <name val="Arial"/>
      <family val="2"/>
    </font>
    <font>
      <sz val="11"/>
      <name val="Arial"/>
      <family val="2"/>
    </font>
    <font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rgb="FFFF0000"/>
      <name val="Calibri"/>
      <family val="2"/>
      <scheme val="minor"/>
    </font>
    <font>
      <sz val="14"/>
      <color rgb="FF333333"/>
      <name val="Calibri"/>
      <family val="2"/>
      <scheme val="minor"/>
    </font>
    <font>
      <u/>
      <sz val="14"/>
      <color theme="1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4"/>
      <color rgb="FF000000"/>
      <name val="Calibri"/>
      <family val="2"/>
      <scheme val="minor"/>
    </font>
    <font>
      <sz val="14"/>
      <color theme="0" tint="-0.14999847407452621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u/>
      <sz val="16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4"/>
      <color rgb="FF333333"/>
      <name val="Calibri"/>
      <family val="2"/>
      <scheme val="minor"/>
    </font>
    <font>
      <sz val="14"/>
      <color rgb="FF00B050"/>
      <name val="Calibri"/>
      <family val="2"/>
      <scheme val="minor"/>
    </font>
    <font>
      <sz val="14"/>
      <color rgb="FF0070C0"/>
      <name val="Calibri"/>
      <family val="2"/>
      <scheme val="minor"/>
    </font>
    <font>
      <u/>
      <sz val="14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00B0F0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580">
    <xf numFmtId="0" fontId="0" fillId="0" borderId="0" xfId="0"/>
    <xf numFmtId="0" fontId="7" fillId="4" borderId="0" xfId="0" applyFont="1" applyFill="1" applyBorder="1" applyAlignment="1" applyProtection="1">
      <alignment horizontal="center" vertical="center"/>
      <protection locked="0"/>
    </xf>
    <xf numFmtId="0" fontId="7" fillId="8" borderId="0" xfId="0" applyFont="1" applyFill="1" applyBorder="1" applyAlignment="1" applyProtection="1">
      <alignment horizontal="center"/>
      <protection locked="0"/>
    </xf>
    <xf numFmtId="0" fontId="7" fillId="8" borderId="12" xfId="0" applyFont="1" applyFill="1" applyBorder="1" applyAlignment="1" applyProtection="1">
      <alignment horizontal="center" vertical="center"/>
      <protection locked="0"/>
    </xf>
    <xf numFmtId="0" fontId="1" fillId="4" borderId="0" xfId="0" applyFont="1" applyFill="1" applyBorder="1" applyAlignment="1" applyProtection="1">
      <alignment horizontal="center"/>
      <protection locked="0"/>
    </xf>
    <xf numFmtId="168" fontId="7" fillId="4" borderId="12" xfId="0" applyNumberFormat="1" applyFont="1" applyFill="1" applyBorder="1" applyAlignment="1" applyProtection="1">
      <alignment horizontal="center" vertical="center"/>
      <protection locked="0"/>
    </xf>
    <xf numFmtId="2" fontId="10" fillId="4" borderId="13" xfId="0" applyNumberFormat="1" applyFont="1" applyFill="1" applyBorder="1" applyAlignment="1" applyProtection="1">
      <alignment horizontal="center"/>
      <protection locked="0"/>
    </xf>
    <xf numFmtId="0" fontId="1" fillId="8" borderId="30" xfId="0" applyFont="1" applyFill="1" applyBorder="1" applyAlignment="1" applyProtection="1">
      <alignment horizontal="center"/>
      <protection locked="0"/>
    </xf>
    <xf numFmtId="0" fontId="0" fillId="11" borderId="0" xfId="0" applyFill="1" applyAlignment="1" applyProtection="1">
      <alignment horizontal="right"/>
    </xf>
    <xf numFmtId="0" fontId="32" fillId="11" borderId="0" xfId="0" applyFont="1" applyFill="1" applyProtection="1"/>
    <xf numFmtId="0" fontId="13" fillId="11" borderId="0" xfId="1" applyFont="1" applyFill="1" applyBorder="1" applyAlignment="1" applyProtection="1">
      <alignment vertical="center" textRotation="180"/>
    </xf>
    <xf numFmtId="164" fontId="5" fillId="0" borderId="0" xfId="0" applyNumberFormat="1" applyFont="1" applyFill="1" applyBorder="1" applyAlignment="1" applyProtection="1">
      <alignment horizontal="right"/>
    </xf>
    <xf numFmtId="0" fontId="32" fillId="0" borderId="0" xfId="0" applyFont="1" applyProtection="1"/>
    <xf numFmtId="0" fontId="33" fillId="13" borderId="0" xfId="0" applyFont="1" applyFill="1" applyAlignment="1" applyProtection="1">
      <alignment horizontal="center"/>
    </xf>
    <xf numFmtId="0" fontId="32" fillId="13" borderId="0" xfId="0" applyFont="1" applyFill="1" applyProtection="1"/>
    <xf numFmtId="0" fontId="33" fillId="13" borderId="4" xfId="0" applyFont="1" applyFill="1" applyBorder="1" applyAlignment="1" applyProtection="1">
      <alignment horizontal="center"/>
    </xf>
    <xf numFmtId="0" fontId="24" fillId="13" borderId="5" xfId="0" applyFont="1" applyFill="1" applyBorder="1" applyProtection="1"/>
    <xf numFmtId="0" fontId="24" fillId="13" borderId="0" xfId="0" applyFont="1" applyFill="1" applyBorder="1" applyAlignment="1" applyProtection="1">
      <alignment horizontal="center"/>
    </xf>
    <xf numFmtId="0" fontId="24" fillId="11" borderId="0" xfId="0" applyFont="1" applyFill="1" applyBorder="1" applyAlignment="1" applyProtection="1">
      <alignment vertical="center" textRotation="180"/>
    </xf>
    <xf numFmtId="0" fontId="15" fillId="13" borderId="30" xfId="0" applyFont="1" applyFill="1" applyBorder="1" applyAlignment="1" applyProtection="1">
      <alignment horizontal="center" vertical="center"/>
    </xf>
    <xf numFmtId="0" fontId="15" fillId="13" borderId="9" xfId="0" applyFont="1" applyFill="1" applyBorder="1" applyAlignment="1" applyProtection="1">
      <alignment horizontal="center"/>
    </xf>
    <xf numFmtId="1" fontId="24" fillId="13" borderId="30" xfId="0" applyNumberFormat="1" applyFont="1" applyFill="1" applyBorder="1" applyAlignment="1" applyProtection="1">
      <alignment horizontal="center"/>
    </xf>
    <xf numFmtId="0" fontId="24" fillId="13" borderId="0" xfId="0" applyFont="1" applyFill="1" applyBorder="1" applyAlignment="1" applyProtection="1">
      <alignment horizontal="center" vertical="center"/>
    </xf>
    <xf numFmtId="0" fontId="15" fillId="13" borderId="30" xfId="0" applyFont="1" applyFill="1" applyBorder="1" applyAlignment="1" applyProtection="1">
      <alignment horizontal="center"/>
    </xf>
    <xf numFmtId="0" fontId="15" fillId="13" borderId="13" xfId="0" applyFont="1" applyFill="1" applyBorder="1" applyAlignment="1" applyProtection="1">
      <alignment horizontal="center" vertical="center"/>
    </xf>
    <xf numFmtId="2" fontId="24" fillId="13" borderId="6" xfId="0" applyNumberFormat="1" applyFont="1" applyFill="1" applyBorder="1" applyAlignment="1" applyProtection="1">
      <alignment horizontal="center" vertical="center"/>
    </xf>
    <xf numFmtId="168" fontId="24" fillId="13" borderId="13" xfId="0" applyNumberFormat="1" applyFont="1" applyFill="1" applyBorder="1" applyAlignment="1" applyProtection="1">
      <alignment horizontal="center"/>
    </xf>
    <xf numFmtId="1" fontId="24" fillId="13" borderId="0" xfId="0" applyNumberFormat="1" applyFont="1" applyFill="1" applyBorder="1" applyAlignment="1" applyProtection="1">
      <alignment horizontal="center"/>
    </xf>
    <xf numFmtId="0" fontId="24" fillId="13" borderId="4" xfId="0" applyFont="1" applyFill="1" applyBorder="1" applyProtection="1"/>
    <xf numFmtId="165" fontId="24" fillId="11" borderId="0" xfId="0" applyNumberFormat="1" applyFont="1" applyFill="1" applyBorder="1" applyAlignment="1" applyProtection="1">
      <alignment horizontal="center"/>
    </xf>
    <xf numFmtId="1" fontId="24" fillId="13" borderId="9" xfId="0" applyNumberFormat="1" applyFont="1" applyFill="1" applyBorder="1" applyAlignment="1" applyProtection="1">
      <alignment horizontal="center"/>
    </xf>
    <xf numFmtId="0" fontId="24" fillId="13" borderId="30" xfId="0" applyFont="1" applyFill="1" applyBorder="1" applyAlignment="1" applyProtection="1">
      <alignment horizontal="center" vertical="center"/>
    </xf>
    <xf numFmtId="2" fontId="24" fillId="13" borderId="6" xfId="0" applyNumberFormat="1" applyFont="1" applyFill="1" applyBorder="1" applyAlignment="1" applyProtection="1">
      <alignment horizontal="center"/>
    </xf>
    <xf numFmtId="2" fontId="10" fillId="13" borderId="13" xfId="0" applyNumberFormat="1" applyFont="1" applyFill="1" applyBorder="1" applyAlignment="1" applyProtection="1">
      <alignment horizontal="center"/>
    </xf>
    <xf numFmtId="0" fontId="15" fillId="13" borderId="0" xfId="0" applyFont="1" applyFill="1" applyBorder="1" applyAlignment="1" applyProtection="1">
      <alignment vertical="center"/>
    </xf>
    <xf numFmtId="2" fontId="24" fillId="13" borderId="13" xfId="0" applyNumberFormat="1" applyFont="1" applyFill="1" applyBorder="1" applyAlignment="1" applyProtection="1">
      <alignment horizontal="center"/>
    </xf>
    <xf numFmtId="164" fontId="24" fillId="13" borderId="0" xfId="0" applyNumberFormat="1" applyFont="1" applyFill="1" applyBorder="1" applyAlignment="1" applyProtection="1">
      <alignment horizontal="center"/>
    </xf>
    <xf numFmtId="0" fontId="15" fillId="13" borderId="0" xfId="0" applyFont="1" applyFill="1" applyProtection="1"/>
    <xf numFmtId="0" fontId="32" fillId="13" borderId="0" xfId="0" applyFont="1" applyFill="1" applyBorder="1" applyProtection="1"/>
    <xf numFmtId="0" fontId="24" fillId="13" borderId="0" xfId="0" applyFont="1" applyFill="1" applyBorder="1" applyAlignment="1" applyProtection="1"/>
    <xf numFmtId="0" fontId="24" fillId="13" borderId="0" xfId="0" applyFont="1" applyFill="1" applyBorder="1" applyAlignment="1" applyProtection="1">
      <alignment horizontal="left"/>
    </xf>
    <xf numFmtId="0" fontId="26" fillId="13" borderId="0" xfId="0" applyFont="1" applyFill="1" applyBorder="1" applyAlignment="1" applyProtection="1">
      <alignment horizontal="left"/>
    </xf>
    <xf numFmtId="10" fontId="26" fillId="13" borderId="0" xfId="2" applyNumberFormat="1" applyFont="1" applyFill="1" applyBorder="1" applyAlignment="1" applyProtection="1">
      <alignment horizontal="left"/>
    </xf>
    <xf numFmtId="165" fontId="26" fillId="13" borderId="0" xfId="0" applyNumberFormat="1" applyFont="1" applyFill="1" applyBorder="1" applyAlignment="1" applyProtection="1">
      <alignment horizontal="left"/>
    </xf>
    <xf numFmtId="0" fontId="32" fillId="13" borderId="4" xfId="0" applyFont="1" applyFill="1" applyBorder="1" applyProtection="1"/>
    <xf numFmtId="0" fontId="0" fillId="11" borderId="0" xfId="0" applyFill="1" applyAlignment="1" applyProtection="1">
      <alignment horizontal="center"/>
    </xf>
    <xf numFmtId="165" fontId="32" fillId="11" borderId="0" xfId="0" applyNumberFormat="1" applyFont="1" applyFill="1" applyProtection="1"/>
    <xf numFmtId="0" fontId="26" fillId="13" borderId="0" xfId="0" applyFont="1" applyFill="1" applyProtection="1"/>
    <xf numFmtId="1" fontId="26" fillId="13" borderId="0" xfId="0" applyNumberFormat="1" applyFont="1" applyFill="1" applyBorder="1" applyAlignment="1" applyProtection="1">
      <alignment horizontal="left"/>
    </xf>
    <xf numFmtId="0" fontId="32" fillId="13" borderId="4" xfId="0" applyFont="1" applyFill="1" applyBorder="1" applyAlignment="1" applyProtection="1">
      <alignment horizontal="center"/>
    </xf>
    <xf numFmtId="168" fontId="26" fillId="13" borderId="0" xfId="0" applyNumberFormat="1" applyFont="1" applyFill="1" applyBorder="1" applyAlignment="1" applyProtection="1">
      <alignment horizontal="left"/>
    </xf>
    <xf numFmtId="0" fontId="26" fillId="13" borderId="0" xfId="0" applyFont="1" applyFill="1" applyBorder="1" applyAlignment="1" applyProtection="1">
      <alignment vertical="center"/>
    </xf>
    <xf numFmtId="10" fontId="32" fillId="13" borderId="4" xfId="2" applyNumberFormat="1" applyFont="1" applyFill="1" applyBorder="1" applyAlignment="1" applyProtection="1">
      <alignment horizontal="center"/>
    </xf>
    <xf numFmtId="0" fontId="34" fillId="13" borderId="0" xfId="0" applyFont="1" applyFill="1" applyProtection="1"/>
    <xf numFmtId="168" fontId="26" fillId="13" borderId="0" xfId="0" applyNumberFormat="1" applyFont="1" applyFill="1" applyAlignment="1" applyProtection="1">
      <alignment horizontal="left"/>
    </xf>
    <xf numFmtId="0" fontId="15" fillId="13" borderId="4" xfId="0" applyFont="1" applyFill="1" applyBorder="1" applyAlignment="1" applyProtection="1"/>
    <xf numFmtId="0" fontId="24" fillId="13" borderId="0" xfId="0" applyFont="1" applyFill="1" applyBorder="1" applyProtection="1"/>
    <xf numFmtId="0" fontId="26" fillId="13" borderId="0" xfId="0" applyFont="1" applyFill="1" applyBorder="1" applyProtection="1"/>
    <xf numFmtId="0" fontId="15" fillId="13" borderId="0" xfId="0" applyFont="1" applyFill="1" applyAlignment="1" applyProtection="1"/>
    <xf numFmtId="10" fontId="26" fillId="13" borderId="0" xfId="2" applyNumberFormat="1" applyFont="1" applyFill="1" applyAlignment="1" applyProtection="1">
      <alignment horizontal="left"/>
    </xf>
    <xf numFmtId="0" fontId="24" fillId="13" borderId="4" xfId="0" applyFont="1" applyFill="1" applyBorder="1" applyAlignment="1" applyProtection="1">
      <alignment horizontal="center"/>
    </xf>
    <xf numFmtId="164" fontId="24" fillId="13" borderId="0" xfId="0" applyNumberFormat="1" applyFont="1" applyFill="1" applyBorder="1" applyAlignment="1" applyProtection="1"/>
    <xf numFmtId="165" fontId="24" fillId="13" borderId="4" xfId="0" applyNumberFormat="1" applyFont="1" applyFill="1" applyBorder="1" applyAlignment="1" applyProtection="1">
      <alignment horizontal="center"/>
    </xf>
    <xf numFmtId="170" fontId="24" fillId="13" borderId="0" xfId="0" applyNumberFormat="1" applyFont="1" applyFill="1" applyBorder="1" applyAlignment="1" applyProtection="1">
      <alignment horizontal="center"/>
    </xf>
    <xf numFmtId="0" fontId="24" fillId="13" borderId="5" xfId="0" applyFont="1" applyFill="1" applyBorder="1" applyAlignment="1" applyProtection="1">
      <alignment horizontal="center"/>
    </xf>
    <xf numFmtId="0" fontId="24" fillId="13" borderId="0" xfId="0" quotePrefix="1" applyFont="1" applyFill="1" applyBorder="1" applyAlignment="1" applyProtection="1">
      <alignment horizontal="center"/>
    </xf>
    <xf numFmtId="170" fontId="24" fillId="13" borderId="0" xfId="0" applyNumberFormat="1" applyFont="1" applyFill="1" applyBorder="1" applyAlignment="1" applyProtection="1">
      <alignment horizontal="left"/>
    </xf>
    <xf numFmtId="0" fontId="40" fillId="13" borderId="0" xfId="1" applyFont="1" applyFill="1" applyBorder="1" applyAlignment="1" applyProtection="1">
      <alignment horizontal="left"/>
    </xf>
    <xf numFmtId="0" fontId="24" fillId="13" borderId="25" xfId="0" applyFont="1" applyFill="1" applyBorder="1" applyProtection="1"/>
    <xf numFmtId="0" fontId="24" fillId="13" borderId="26" xfId="0" applyFont="1" applyFill="1" applyBorder="1" applyProtection="1"/>
    <xf numFmtId="0" fontId="24" fillId="13" borderId="26" xfId="0" applyFont="1" applyFill="1" applyBorder="1" applyAlignment="1" applyProtection="1">
      <alignment horizontal="center"/>
    </xf>
    <xf numFmtId="165" fontId="24" fillId="13" borderId="27" xfId="0" applyNumberFormat="1" applyFont="1" applyFill="1" applyBorder="1" applyAlignment="1" applyProtection="1">
      <alignment horizontal="center"/>
    </xf>
    <xf numFmtId="0" fontId="27" fillId="11" borderId="19" xfId="0" applyFont="1" applyFill="1" applyBorder="1" applyProtection="1"/>
    <xf numFmtId="170" fontId="27" fillId="11" borderId="20" xfId="0" applyNumberFormat="1" applyFont="1" applyFill="1" applyBorder="1" applyProtection="1"/>
    <xf numFmtId="10" fontId="27" fillId="11" borderId="20" xfId="0" applyNumberFormat="1" applyFont="1" applyFill="1" applyBorder="1" applyProtection="1"/>
    <xf numFmtId="2" fontId="27" fillId="11" borderId="20" xfId="0" applyNumberFormat="1" applyFont="1" applyFill="1" applyBorder="1" applyProtection="1"/>
    <xf numFmtId="0" fontId="27" fillId="11" borderId="20" xfId="0" applyFont="1" applyFill="1" applyBorder="1" applyProtection="1"/>
    <xf numFmtId="0" fontId="27" fillId="11" borderId="21" xfId="0" applyFont="1" applyFill="1" applyBorder="1" applyProtection="1"/>
    <xf numFmtId="0" fontId="27" fillId="11" borderId="5" xfId="0" applyFont="1" applyFill="1" applyBorder="1" applyProtection="1"/>
    <xf numFmtId="0" fontId="27" fillId="11" borderId="0" xfId="0" applyFont="1" applyFill="1" applyBorder="1" applyProtection="1"/>
    <xf numFmtId="0" fontId="27" fillId="11" borderId="4" xfId="0" applyFont="1" applyFill="1" applyBorder="1" applyProtection="1"/>
    <xf numFmtId="0" fontId="24" fillId="11" borderId="0" xfId="0" applyFont="1" applyFill="1" applyProtection="1"/>
    <xf numFmtId="0" fontId="27" fillId="11" borderId="0" xfId="0" applyFont="1" applyFill="1" applyBorder="1" applyAlignment="1" applyProtection="1">
      <alignment horizontal="center"/>
    </xf>
    <xf numFmtId="1" fontId="27" fillId="11" borderId="0" xfId="0" applyNumberFormat="1" applyFont="1" applyFill="1" applyBorder="1" applyAlignment="1" applyProtection="1"/>
    <xf numFmtId="0" fontId="27" fillId="11" borderId="4" xfId="0" applyFont="1" applyFill="1" applyBorder="1" applyAlignment="1" applyProtection="1">
      <alignment horizontal="center"/>
    </xf>
    <xf numFmtId="1" fontId="27" fillId="11" borderId="0" xfId="0" applyNumberFormat="1" applyFont="1" applyFill="1" applyBorder="1" applyProtection="1"/>
    <xf numFmtId="0" fontId="27" fillId="11" borderId="0" xfId="0" applyFont="1" applyFill="1" applyBorder="1" applyAlignment="1" applyProtection="1">
      <alignment horizontal="center" wrapText="1"/>
    </xf>
    <xf numFmtId="1" fontId="27" fillId="11" borderId="5" xfId="0" applyNumberFormat="1" applyFont="1" applyFill="1" applyBorder="1" applyProtection="1"/>
    <xf numFmtId="0" fontId="27" fillId="11" borderId="0" xfId="0" applyFont="1" applyFill="1" applyBorder="1" applyAlignment="1" applyProtection="1"/>
    <xf numFmtId="2" fontId="27" fillId="11" borderId="0" xfId="0" applyNumberFormat="1" applyFont="1" applyFill="1" applyBorder="1" applyAlignment="1" applyProtection="1"/>
    <xf numFmtId="10" fontId="27" fillId="11" borderId="5" xfId="2" applyNumberFormat="1" applyFont="1" applyFill="1" applyBorder="1" applyProtection="1"/>
    <xf numFmtId="0" fontId="21" fillId="11" borderId="0" xfId="0" applyFont="1" applyFill="1" applyBorder="1" applyProtection="1"/>
    <xf numFmtId="0" fontId="21" fillId="11" borderId="4" xfId="0" applyFont="1" applyFill="1" applyBorder="1" applyProtection="1"/>
    <xf numFmtId="0" fontId="43" fillId="11" borderId="0" xfId="0" applyFont="1" applyFill="1" applyBorder="1" applyProtection="1"/>
    <xf numFmtId="168" fontId="27" fillId="11" borderId="0" xfId="0" applyNumberFormat="1" applyFont="1" applyFill="1" applyBorder="1" applyProtection="1"/>
    <xf numFmtId="0" fontId="24" fillId="11" borderId="0" xfId="0" applyFont="1" applyFill="1" applyAlignment="1" applyProtection="1">
      <alignment horizontal="right" vertical="center" textRotation="180"/>
    </xf>
    <xf numFmtId="0" fontId="24" fillId="11" borderId="0" xfId="0" applyFont="1" applyFill="1" applyAlignment="1" applyProtection="1">
      <alignment horizontal="center" vertical="center" textRotation="180"/>
    </xf>
    <xf numFmtId="0" fontId="21" fillId="11" borderId="25" xfId="0" applyFont="1" applyFill="1" applyBorder="1" applyProtection="1"/>
    <xf numFmtId="0" fontId="21" fillId="11" borderId="26" xfId="0" applyFont="1" applyFill="1" applyBorder="1" applyProtection="1"/>
    <xf numFmtId="0" fontId="43" fillId="11" borderId="26" xfId="0" applyFont="1" applyFill="1" applyBorder="1" applyProtection="1"/>
    <xf numFmtId="0" fontId="43" fillId="11" borderId="27" xfId="0" applyFont="1" applyFill="1" applyBorder="1" applyProtection="1"/>
    <xf numFmtId="0" fontId="22" fillId="11" borderId="19" xfId="1" applyFont="1" applyFill="1" applyBorder="1" applyAlignment="1" applyProtection="1"/>
    <xf numFmtId="0" fontId="43" fillId="11" borderId="20" xfId="0" applyFont="1" applyFill="1" applyBorder="1" applyProtection="1"/>
    <xf numFmtId="0" fontId="43" fillId="11" borderId="21" xfId="0" applyFont="1" applyFill="1" applyBorder="1" applyProtection="1"/>
    <xf numFmtId="0" fontId="22" fillId="11" borderId="5" xfId="1" applyFont="1" applyFill="1" applyBorder="1" applyAlignment="1" applyProtection="1"/>
    <xf numFmtId="0" fontId="43" fillId="11" borderId="4" xfId="0" applyFont="1" applyFill="1" applyBorder="1" applyProtection="1"/>
    <xf numFmtId="0" fontId="43" fillId="11" borderId="5" xfId="0" applyFont="1" applyFill="1" applyBorder="1" applyProtection="1"/>
    <xf numFmtId="0" fontId="43" fillId="11" borderId="25" xfId="0" applyFont="1" applyFill="1" applyBorder="1" applyProtection="1"/>
    <xf numFmtId="0" fontId="32" fillId="0" borderId="0" xfId="0" applyFont="1" applyFill="1" applyProtection="1"/>
    <xf numFmtId="0" fontId="7" fillId="2" borderId="0" xfId="0" applyFont="1" applyFill="1" applyProtection="1"/>
    <xf numFmtId="171" fontId="5" fillId="2" borderId="0" xfId="0" applyNumberFormat="1" applyFont="1" applyFill="1" applyAlignment="1" applyProtection="1">
      <alignment horizontal="center"/>
    </xf>
    <xf numFmtId="2" fontId="5" fillId="2" borderId="0" xfId="0" applyNumberFormat="1" applyFont="1" applyFill="1" applyAlignment="1" applyProtection="1">
      <alignment horizontal="center"/>
    </xf>
    <xf numFmtId="0" fontId="24" fillId="2" borderId="0" xfId="0" applyFont="1" applyFill="1" applyAlignment="1" applyProtection="1">
      <alignment horizontal="center" vertical="center"/>
    </xf>
    <xf numFmtId="10" fontId="1" fillId="2" borderId="0" xfId="0" applyNumberFormat="1" applyFont="1" applyFill="1" applyAlignment="1" applyProtection="1">
      <alignment horizontal="center" vertical="center"/>
    </xf>
    <xf numFmtId="0" fontId="1" fillId="2" borderId="0" xfId="0" applyFont="1" applyFill="1" applyAlignment="1" applyProtection="1">
      <alignment vertical="center"/>
    </xf>
    <xf numFmtId="0" fontId="7" fillId="2" borderId="0" xfId="0" applyFont="1" applyFill="1" applyAlignment="1" applyProtection="1">
      <alignment vertical="center"/>
    </xf>
    <xf numFmtId="0" fontId="10" fillId="2" borderId="0" xfId="0" applyFont="1" applyFill="1" applyAlignment="1" applyProtection="1">
      <alignment horizontal="center" vertical="center"/>
    </xf>
    <xf numFmtId="0" fontId="7" fillId="0" borderId="0" xfId="0" applyFont="1" applyProtection="1"/>
    <xf numFmtId="0" fontId="10" fillId="2" borderId="0" xfId="0" applyFont="1" applyFill="1" applyBorder="1" applyAlignment="1" applyProtection="1">
      <alignment horizontal="right"/>
    </xf>
    <xf numFmtId="0" fontId="10" fillId="2" borderId="0" xfId="0" applyFont="1" applyFill="1" applyBorder="1" applyAlignment="1" applyProtection="1"/>
    <xf numFmtId="0" fontId="5" fillId="2" borderId="0" xfId="0" applyFont="1" applyFill="1" applyBorder="1" applyAlignment="1" applyProtection="1">
      <alignment horizontal="center"/>
    </xf>
    <xf numFmtId="0" fontId="5" fillId="2" borderId="12" xfId="0" applyFont="1" applyFill="1" applyBorder="1" applyAlignment="1" applyProtection="1">
      <alignment horizontal="center"/>
    </xf>
    <xf numFmtId="0" fontId="5" fillId="3" borderId="12" xfId="0" applyFont="1" applyFill="1" applyBorder="1" applyAlignment="1" applyProtection="1">
      <alignment horizontal="center"/>
    </xf>
    <xf numFmtId="0" fontId="10" fillId="2" borderId="0" xfId="0" applyFont="1" applyFill="1" applyAlignment="1" applyProtection="1">
      <alignment horizontal="center"/>
    </xf>
    <xf numFmtId="0" fontId="10" fillId="2" borderId="0" xfId="0" applyFont="1" applyFill="1" applyProtection="1"/>
    <xf numFmtId="0" fontId="10" fillId="2" borderId="0" xfId="0" applyFont="1" applyFill="1" applyAlignment="1" applyProtection="1"/>
    <xf numFmtId="0" fontId="7" fillId="2" borderId="0" xfId="0" applyFont="1" applyFill="1" applyAlignment="1" applyProtection="1"/>
    <xf numFmtId="0" fontId="5" fillId="11" borderId="29" xfId="0" applyFont="1" applyFill="1" applyBorder="1" applyAlignment="1" applyProtection="1">
      <alignment horizontal="center"/>
    </xf>
    <xf numFmtId="0" fontId="5" fillId="11" borderId="15" xfId="0" applyFont="1" applyFill="1" applyBorder="1" applyAlignment="1" applyProtection="1">
      <alignment horizontal="center"/>
    </xf>
    <xf numFmtId="0" fontId="31" fillId="11" borderId="29" xfId="0" applyFont="1" applyFill="1" applyBorder="1" applyAlignment="1" applyProtection="1">
      <alignment horizontal="center"/>
    </xf>
    <xf numFmtId="0" fontId="5" fillId="11" borderId="29" xfId="0" applyFont="1" applyFill="1" applyBorder="1" applyProtection="1"/>
    <xf numFmtId="0" fontId="24" fillId="2" borderId="3" xfId="0" applyFont="1" applyFill="1" applyBorder="1" applyAlignment="1" applyProtection="1">
      <alignment horizontal="center"/>
    </xf>
    <xf numFmtId="0" fontId="24" fillId="2" borderId="9" xfId="0" applyFont="1" applyFill="1" applyBorder="1" applyAlignment="1" applyProtection="1">
      <alignment horizontal="center"/>
    </xf>
    <xf numFmtId="0" fontId="24" fillId="2" borderId="3" xfId="0" applyFont="1" applyFill="1" applyBorder="1" applyProtection="1"/>
    <xf numFmtId="0" fontId="24" fillId="2" borderId="9" xfId="0" applyFont="1" applyFill="1" applyBorder="1" applyProtection="1"/>
    <xf numFmtId="0" fontId="24" fillId="2" borderId="10" xfId="0" applyFont="1" applyFill="1" applyBorder="1" applyAlignment="1" applyProtection="1">
      <alignment horizontal="center"/>
    </xf>
    <xf numFmtId="2" fontId="24" fillId="2" borderId="0" xfId="0" applyNumberFormat="1" applyFont="1" applyFill="1" applyBorder="1" applyAlignment="1" applyProtection="1">
      <alignment horizontal="center"/>
    </xf>
    <xf numFmtId="0" fontId="5" fillId="11" borderId="13" xfId="0" applyFont="1" applyFill="1" applyBorder="1" applyAlignment="1" applyProtection="1">
      <alignment horizontal="center"/>
    </xf>
    <xf numFmtId="0" fontId="5" fillId="11" borderId="6" xfId="0" applyFont="1" applyFill="1" applyBorder="1" applyAlignment="1" applyProtection="1">
      <alignment horizontal="center"/>
    </xf>
    <xf numFmtId="0" fontId="31" fillId="11" borderId="13" xfId="0" applyFont="1" applyFill="1" applyBorder="1" applyAlignment="1" applyProtection="1">
      <alignment horizontal="center"/>
    </xf>
    <xf numFmtId="0" fontId="24" fillId="2" borderId="0" xfId="0" applyFont="1" applyFill="1" applyBorder="1" applyAlignment="1" applyProtection="1">
      <alignment horizontal="center"/>
    </xf>
    <xf numFmtId="0" fontId="24" fillId="2" borderId="15" xfId="0" applyFont="1" applyFill="1" applyBorder="1" applyAlignment="1" applyProtection="1">
      <alignment horizontal="center"/>
    </xf>
    <xf numFmtId="0" fontId="24" fillId="2" borderId="0" xfId="0" applyFont="1" applyFill="1" applyBorder="1" applyProtection="1"/>
    <xf numFmtId="2" fontId="24" fillId="2" borderId="15" xfId="0" applyNumberFormat="1" applyFont="1" applyFill="1" applyBorder="1" applyAlignment="1" applyProtection="1">
      <alignment horizontal="center"/>
    </xf>
    <xf numFmtId="0" fontId="24" fillId="2" borderId="8" xfId="0" applyFont="1" applyFill="1" applyBorder="1" applyProtection="1"/>
    <xf numFmtId="0" fontId="45" fillId="16" borderId="12" xfId="0" applyFont="1" applyFill="1" applyBorder="1" applyAlignment="1" applyProtection="1">
      <alignment horizontal="center" vertical="center"/>
    </xf>
    <xf numFmtId="164" fontId="46" fillId="16" borderId="12" xfId="0" applyNumberFormat="1" applyFont="1" applyFill="1" applyBorder="1" applyAlignment="1" applyProtection="1">
      <alignment horizontal="center" vertical="center"/>
    </xf>
    <xf numFmtId="2" fontId="45" fillId="16" borderId="12" xfId="0" applyNumberFormat="1" applyFont="1" applyFill="1" applyBorder="1" applyAlignment="1" applyProtection="1">
      <alignment horizontal="center" vertical="center"/>
    </xf>
    <xf numFmtId="2" fontId="46" fillId="16" borderId="12" xfId="0" applyNumberFormat="1" applyFont="1" applyFill="1" applyBorder="1" applyAlignment="1" applyProtection="1">
      <alignment horizontal="center" vertical="center"/>
    </xf>
    <xf numFmtId="1" fontId="45" fillId="16" borderId="12" xfId="0" applyNumberFormat="1" applyFont="1" applyFill="1" applyBorder="1" applyAlignment="1" applyProtection="1">
      <alignment horizontal="center" vertical="center"/>
    </xf>
    <xf numFmtId="2" fontId="24" fillId="2" borderId="0" xfId="0" applyNumberFormat="1" applyFont="1" applyFill="1" applyBorder="1" applyProtection="1"/>
    <xf numFmtId="2" fontId="24" fillId="2" borderId="15" xfId="0" applyNumberFormat="1" applyFont="1" applyFill="1" applyBorder="1" applyProtection="1"/>
    <xf numFmtId="2" fontId="10" fillId="2" borderId="0" xfId="0" applyNumberFormat="1" applyFont="1" applyFill="1" applyProtection="1"/>
    <xf numFmtId="0" fontId="45" fillId="16" borderId="13" xfId="0" applyFont="1" applyFill="1" applyBorder="1" applyAlignment="1" applyProtection="1">
      <alignment horizontal="center" vertical="center"/>
    </xf>
    <xf numFmtId="0" fontId="24" fillId="2" borderId="1" xfId="0" applyFont="1" applyFill="1" applyBorder="1" applyProtection="1"/>
    <xf numFmtId="2" fontId="24" fillId="2" borderId="1" xfId="0" applyNumberFormat="1" applyFont="1" applyFill="1" applyBorder="1" applyProtection="1"/>
    <xf numFmtId="2" fontId="24" fillId="2" borderId="6" xfId="0" applyNumberFormat="1" applyFont="1" applyFill="1" applyBorder="1" applyProtection="1"/>
    <xf numFmtId="0" fontId="24" fillId="2" borderId="7" xfId="0" applyFont="1" applyFill="1" applyBorder="1" applyProtection="1"/>
    <xf numFmtId="1" fontId="10" fillId="2" borderId="0" xfId="0" applyNumberFormat="1" applyFont="1" applyFill="1" applyAlignment="1" applyProtection="1">
      <alignment horizontal="center"/>
    </xf>
    <xf numFmtId="2" fontId="24" fillId="2" borderId="3" xfId="0" applyNumberFormat="1" applyFont="1" applyFill="1" applyBorder="1" applyProtection="1"/>
    <xf numFmtId="2" fontId="24" fillId="2" borderId="9" xfId="0" applyNumberFormat="1" applyFont="1" applyFill="1" applyBorder="1" applyProtection="1"/>
    <xf numFmtId="0" fontId="7" fillId="2" borderId="0" xfId="0" applyFont="1" applyFill="1" applyBorder="1" applyProtection="1"/>
    <xf numFmtId="2" fontId="7" fillId="2" borderId="0" xfId="0" applyNumberFormat="1" applyFont="1" applyFill="1" applyBorder="1" applyProtection="1"/>
    <xf numFmtId="0" fontId="15" fillId="2" borderId="0" xfId="0" applyFont="1" applyFill="1" applyProtection="1"/>
    <xf numFmtId="168" fontId="7" fillId="2" borderId="0" xfId="0" applyNumberFormat="1" applyFont="1" applyFill="1" applyBorder="1" applyProtection="1"/>
    <xf numFmtId="2" fontId="7" fillId="2" borderId="0" xfId="0" applyNumberFormat="1" applyFont="1" applyFill="1" applyBorder="1" applyAlignment="1" applyProtection="1"/>
    <xf numFmtId="0" fontId="7" fillId="2" borderId="0" xfId="0" applyFont="1" applyFill="1" applyBorder="1" applyAlignment="1" applyProtection="1"/>
    <xf numFmtId="0" fontId="24" fillId="2" borderId="1" xfId="0" applyFont="1" applyFill="1" applyBorder="1" applyAlignment="1" applyProtection="1">
      <alignment horizontal="center"/>
    </xf>
    <xf numFmtId="0" fontId="6" fillId="2" borderId="0" xfId="0" applyFont="1" applyFill="1" applyBorder="1" applyAlignment="1" applyProtection="1"/>
    <xf numFmtId="2" fontId="10" fillId="2" borderId="0" xfId="0" applyNumberFormat="1" applyFont="1" applyFill="1" applyBorder="1" applyProtection="1"/>
    <xf numFmtId="2" fontId="10" fillId="2" borderId="0" xfId="0" applyNumberFormat="1" applyFont="1" applyFill="1" applyBorder="1" applyAlignment="1" applyProtection="1">
      <alignment horizontal="right"/>
    </xf>
    <xf numFmtId="0" fontId="15" fillId="2" borderId="17" xfId="0" applyFont="1" applyFill="1" applyBorder="1" applyAlignment="1" applyProtection="1">
      <alignment horizontal="left"/>
    </xf>
    <xf numFmtId="0" fontId="15" fillId="2" borderId="18" xfId="0" applyFont="1" applyFill="1" applyBorder="1" applyAlignment="1" applyProtection="1">
      <alignment horizontal="center"/>
    </xf>
    <xf numFmtId="0" fontId="15" fillId="2" borderId="16" xfId="0" applyFont="1" applyFill="1" applyBorder="1" applyAlignment="1" applyProtection="1">
      <alignment horizontal="center"/>
    </xf>
    <xf numFmtId="0" fontId="24" fillId="2" borderId="12" xfId="0" applyFont="1" applyFill="1" applyBorder="1" applyAlignment="1" applyProtection="1">
      <alignment horizontal="center"/>
    </xf>
    <xf numFmtId="0" fontId="1" fillId="2" borderId="0" xfId="0" applyFont="1" applyFill="1" applyBorder="1" applyAlignment="1" applyProtection="1">
      <alignment vertical="center"/>
    </xf>
    <xf numFmtId="0" fontId="1" fillId="2" borderId="0" xfId="0" applyFont="1" applyFill="1" applyBorder="1" applyAlignment="1" applyProtection="1"/>
    <xf numFmtId="10" fontId="1" fillId="2" borderId="0" xfId="3" applyNumberFormat="1" applyFont="1" applyFill="1" applyBorder="1" applyAlignment="1" applyProtection="1">
      <alignment vertical="center"/>
    </xf>
    <xf numFmtId="0" fontId="7" fillId="2" borderId="0" xfId="0" applyFont="1" applyFill="1" applyAlignment="1" applyProtection="1">
      <alignment horizontal="center"/>
    </xf>
    <xf numFmtId="0" fontId="10" fillId="2" borderId="0" xfId="0" applyFont="1" applyFill="1" applyBorder="1" applyAlignment="1" applyProtection="1">
      <alignment horizontal="center"/>
    </xf>
    <xf numFmtId="2" fontId="10" fillId="2" borderId="0" xfId="0" applyNumberFormat="1" applyFont="1" applyFill="1" applyBorder="1" applyAlignment="1" applyProtection="1"/>
    <xf numFmtId="0" fontId="24" fillId="2" borderId="10" xfId="0" applyFont="1" applyFill="1" applyBorder="1" applyProtection="1"/>
    <xf numFmtId="0" fontId="24" fillId="2" borderId="15" xfId="0" applyFont="1" applyFill="1" applyBorder="1" applyProtection="1"/>
    <xf numFmtId="165" fontId="24" fillId="2" borderId="30" xfId="0" applyNumberFormat="1" applyFont="1" applyFill="1" applyBorder="1" applyProtection="1"/>
    <xf numFmtId="2" fontId="24" fillId="2" borderId="8" xfId="0" applyNumberFormat="1" applyFont="1" applyFill="1" applyBorder="1" applyProtection="1"/>
    <xf numFmtId="165" fontId="24" fillId="2" borderId="29" xfId="0" applyNumberFormat="1" applyFont="1" applyFill="1" applyBorder="1" applyProtection="1"/>
    <xf numFmtId="1" fontId="7" fillId="2" borderId="0" xfId="0" applyNumberFormat="1" applyFont="1" applyFill="1" applyAlignment="1" applyProtection="1">
      <alignment horizontal="center"/>
    </xf>
    <xf numFmtId="1" fontId="10" fillId="2" borderId="0" xfId="0" applyNumberFormat="1" applyFont="1" applyFill="1" applyBorder="1" applyAlignment="1" applyProtection="1">
      <alignment horizontal="center"/>
    </xf>
    <xf numFmtId="2" fontId="24" fillId="2" borderId="1" xfId="0" applyNumberFormat="1" applyFont="1" applyFill="1" applyBorder="1" applyAlignment="1" applyProtection="1">
      <alignment horizontal="center"/>
    </xf>
    <xf numFmtId="0" fontId="24" fillId="2" borderId="30" xfId="0" applyFont="1" applyFill="1" applyBorder="1" applyProtection="1"/>
    <xf numFmtId="2" fontId="24" fillId="2" borderId="3" xfId="0" applyNumberFormat="1" applyFont="1" applyFill="1" applyBorder="1" applyAlignment="1" applyProtection="1">
      <alignment horizontal="center"/>
    </xf>
    <xf numFmtId="0" fontId="24" fillId="2" borderId="29" xfId="0" applyFont="1" applyFill="1" applyBorder="1" applyProtection="1"/>
    <xf numFmtId="0" fontId="7" fillId="2" borderId="0" xfId="0" applyFont="1" applyFill="1" applyBorder="1" applyAlignment="1" applyProtection="1">
      <alignment horizontal="center"/>
    </xf>
    <xf numFmtId="0" fontId="7" fillId="2" borderId="7" xfId="0" applyFont="1" applyFill="1" applyBorder="1" applyProtection="1"/>
    <xf numFmtId="0" fontId="7" fillId="2" borderId="1" xfId="0" applyFont="1" applyFill="1" applyBorder="1" applyProtection="1"/>
    <xf numFmtId="0" fontId="10" fillId="2" borderId="13" xfId="0" applyFont="1" applyFill="1" applyBorder="1" applyProtection="1"/>
    <xf numFmtId="2" fontId="19" fillId="2" borderId="0" xfId="0" applyNumberFormat="1" applyFont="1" applyFill="1" applyBorder="1" applyAlignment="1" applyProtection="1">
      <alignment horizontal="center"/>
    </xf>
    <xf numFmtId="0" fontId="39" fillId="2" borderId="8" xfId="0" applyFont="1" applyFill="1" applyBorder="1" applyProtection="1"/>
    <xf numFmtId="0" fontId="10" fillId="2" borderId="29" xfId="0" applyFont="1" applyFill="1" applyBorder="1" applyProtection="1"/>
    <xf numFmtId="0" fontId="7" fillId="2" borderId="8" xfId="0" applyFont="1" applyFill="1" applyBorder="1" applyProtection="1"/>
    <xf numFmtId="0" fontId="1" fillId="2" borderId="0" xfId="0" applyFont="1" applyFill="1" applyBorder="1" applyProtection="1"/>
    <xf numFmtId="10" fontId="1" fillId="2" borderId="0" xfId="2" applyNumberFormat="1" applyFont="1" applyFill="1" applyBorder="1" applyAlignment="1" applyProtection="1">
      <alignment vertical="center"/>
    </xf>
    <xf numFmtId="0" fontId="39" fillId="2" borderId="10" xfId="0" applyFont="1" applyFill="1" applyBorder="1" applyProtection="1"/>
    <xf numFmtId="0" fontId="7" fillId="2" borderId="3" xfId="0" applyFont="1" applyFill="1" applyBorder="1" applyProtection="1"/>
    <xf numFmtId="0" fontId="10" fillId="2" borderId="30" xfId="0" applyFont="1" applyFill="1" applyBorder="1" applyProtection="1"/>
    <xf numFmtId="2" fontId="18" fillId="2" borderId="0" xfId="0" applyNumberFormat="1" applyFont="1" applyFill="1" applyBorder="1" applyAlignment="1" applyProtection="1">
      <alignment horizontal="center"/>
    </xf>
    <xf numFmtId="2" fontId="23" fillId="2" borderId="0" xfId="0" applyNumberFormat="1" applyFont="1" applyFill="1" applyBorder="1" applyAlignment="1" applyProtection="1">
      <alignment horizontal="center"/>
    </xf>
    <xf numFmtId="2" fontId="24" fillId="2" borderId="3" xfId="0" quotePrefix="1" applyNumberFormat="1" applyFont="1" applyFill="1" applyBorder="1" applyAlignment="1" applyProtection="1">
      <alignment horizontal="center"/>
    </xf>
    <xf numFmtId="2" fontId="24" fillId="2" borderId="9" xfId="0" quotePrefix="1" applyNumberFormat="1" applyFont="1" applyFill="1" applyBorder="1" applyAlignment="1" applyProtection="1">
      <alignment horizontal="center"/>
    </xf>
    <xf numFmtId="0" fontId="1" fillId="2" borderId="8" xfId="0" applyFont="1" applyFill="1" applyBorder="1" applyAlignment="1" applyProtection="1">
      <alignment horizontal="center"/>
    </xf>
    <xf numFmtId="2" fontId="24" fillId="2" borderId="29" xfId="0" applyNumberFormat="1" applyFont="1" applyFill="1" applyBorder="1" applyProtection="1"/>
    <xf numFmtId="0" fontId="7" fillId="2" borderId="29" xfId="0" applyFont="1" applyFill="1" applyBorder="1" applyProtection="1"/>
    <xf numFmtId="0" fontId="24" fillId="2" borderId="0" xfId="0" applyFont="1" applyFill="1" applyBorder="1" applyAlignment="1" applyProtection="1">
      <alignment horizontal="center" vertical="center"/>
    </xf>
    <xf numFmtId="0" fontId="45" fillId="15" borderId="13" xfId="0" applyFont="1" applyFill="1" applyBorder="1" applyAlignment="1" applyProtection="1">
      <alignment horizontal="center" vertical="center"/>
    </xf>
    <xf numFmtId="164" fontId="46" fillId="15" borderId="12" xfId="0" applyNumberFormat="1" applyFont="1" applyFill="1" applyBorder="1" applyAlignment="1" applyProtection="1">
      <alignment horizontal="center" vertical="center"/>
    </xf>
    <xf numFmtId="2" fontId="45" fillId="15" borderId="12" xfId="0" applyNumberFormat="1" applyFont="1" applyFill="1" applyBorder="1" applyAlignment="1" applyProtection="1">
      <alignment horizontal="center" vertical="center"/>
    </xf>
    <xf numFmtId="2" fontId="46" fillId="15" borderId="12" xfId="0" applyNumberFormat="1" applyFont="1" applyFill="1" applyBorder="1" applyAlignment="1" applyProtection="1">
      <alignment horizontal="center" vertical="center"/>
    </xf>
    <xf numFmtId="1" fontId="45" fillId="15" borderId="12" xfId="0" applyNumberFormat="1" applyFont="1" applyFill="1" applyBorder="1" applyAlignment="1" applyProtection="1">
      <alignment horizontal="center" vertical="center"/>
    </xf>
    <xf numFmtId="0" fontId="24" fillId="2" borderId="13" xfId="0" applyFont="1" applyFill="1" applyBorder="1" applyProtection="1"/>
    <xf numFmtId="164" fontId="10" fillId="2" borderId="0" xfId="0" applyNumberFormat="1" applyFont="1" applyFill="1" applyBorder="1" applyAlignment="1" applyProtection="1">
      <alignment horizontal="center"/>
    </xf>
    <xf numFmtId="0" fontId="45" fillId="15" borderId="12" xfId="0" applyFont="1" applyFill="1" applyBorder="1" applyAlignment="1" applyProtection="1">
      <alignment horizontal="center" vertical="center"/>
    </xf>
    <xf numFmtId="164" fontId="45" fillId="15" borderId="12" xfId="0" applyNumberFormat="1" applyFont="1" applyFill="1" applyBorder="1" applyAlignment="1" applyProtection="1">
      <alignment horizontal="center" vertical="center"/>
    </xf>
    <xf numFmtId="0" fontId="24" fillId="2" borderId="10" xfId="0" applyFont="1" applyFill="1" applyBorder="1" applyAlignment="1" applyProtection="1">
      <alignment horizontal="left"/>
    </xf>
    <xf numFmtId="164" fontId="46" fillId="15" borderId="13" xfId="0" applyNumberFormat="1" applyFont="1" applyFill="1" applyBorder="1" applyAlignment="1" applyProtection="1">
      <alignment horizontal="center" vertical="center"/>
    </xf>
    <xf numFmtId="2" fontId="45" fillId="15" borderId="13" xfId="0" applyNumberFormat="1" applyFont="1" applyFill="1" applyBorder="1" applyAlignment="1" applyProtection="1">
      <alignment horizontal="center" vertical="center"/>
    </xf>
    <xf numFmtId="1" fontId="45" fillId="15" borderId="13" xfId="0" applyNumberFormat="1" applyFont="1" applyFill="1" applyBorder="1" applyAlignment="1" applyProtection="1">
      <alignment horizontal="center" vertical="center"/>
    </xf>
    <xf numFmtId="2" fontId="46" fillId="15" borderId="13" xfId="0" applyNumberFormat="1" applyFont="1" applyFill="1" applyBorder="1" applyAlignment="1" applyProtection="1">
      <alignment horizontal="center" vertical="center"/>
    </xf>
    <xf numFmtId="164" fontId="24" fillId="2" borderId="3" xfId="0" quotePrefix="1" applyNumberFormat="1" applyFont="1" applyFill="1" applyBorder="1" applyAlignment="1" applyProtection="1">
      <alignment horizontal="center"/>
    </xf>
    <xf numFmtId="164" fontId="24" fillId="2" borderId="9" xfId="0" quotePrefix="1" applyNumberFormat="1" applyFont="1" applyFill="1" applyBorder="1" applyAlignment="1" applyProtection="1">
      <alignment horizontal="center"/>
    </xf>
    <xf numFmtId="165" fontId="24" fillId="2" borderId="29" xfId="0" applyNumberFormat="1" applyFont="1" applyFill="1" applyBorder="1" applyAlignment="1" applyProtection="1">
      <alignment horizontal="center"/>
    </xf>
    <xf numFmtId="164" fontId="24" fillId="2" borderId="1" xfId="0" quotePrefix="1" applyNumberFormat="1" applyFont="1" applyFill="1" applyBorder="1" applyAlignment="1" applyProtection="1">
      <alignment horizontal="center"/>
    </xf>
    <xf numFmtId="0" fontId="24" fillId="2" borderId="6" xfId="0" applyFont="1" applyFill="1" applyBorder="1" applyAlignment="1" applyProtection="1">
      <alignment horizontal="center"/>
    </xf>
    <xf numFmtId="1" fontId="24" fillId="2" borderId="13" xfId="0" applyNumberFormat="1" applyFont="1" applyFill="1" applyBorder="1" applyAlignment="1" applyProtection="1">
      <alignment horizontal="center"/>
    </xf>
    <xf numFmtId="0" fontId="24" fillId="2" borderId="0" xfId="0" applyFont="1" applyFill="1" applyProtection="1"/>
    <xf numFmtId="0" fontId="1" fillId="2" borderId="0" xfId="0" applyFont="1" applyFill="1" applyProtection="1"/>
    <xf numFmtId="165" fontId="1" fillId="2" borderId="0" xfId="0" applyNumberFormat="1" applyFont="1" applyFill="1" applyBorder="1" applyAlignment="1" applyProtection="1">
      <alignment horizontal="center"/>
    </xf>
    <xf numFmtId="164" fontId="24" fillId="2" borderId="29" xfId="0" applyNumberFormat="1" applyFont="1" applyFill="1" applyBorder="1" applyProtection="1"/>
    <xf numFmtId="164" fontId="24" fillId="2" borderId="13" xfId="0" applyNumberFormat="1" applyFont="1" applyFill="1" applyBorder="1" applyProtection="1"/>
    <xf numFmtId="0" fontId="45" fillId="14" borderId="12" xfId="0" applyFont="1" applyFill="1" applyBorder="1" applyAlignment="1" applyProtection="1">
      <alignment horizontal="center" vertical="center"/>
    </xf>
    <xf numFmtId="164" fontId="46" fillId="14" borderId="13" xfId="0" applyNumberFormat="1" applyFont="1" applyFill="1" applyBorder="1" applyAlignment="1" applyProtection="1">
      <alignment horizontal="center" vertical="center"/>
    </xf>
    <xf numFmtId="2" fontId="45" fillId="14" borderId="12" xfId="0" applyNumberFormat="1" applyFont="1" applyFill="1" applyBorder="1" applyAlignment="1" applyProtection="1">
      <alignment horizontal="center" vertical="center"/>
    </xf>
    <xf numFmtId="2" fontId="45" fillId="14" borderId="13" xfId="0" applyNumberFormat="1" applyFont="1" applyFill="1" applyBorder="1" applyAlignment="1" applyProtection="1">
      <alignment horizontal="center" vertical="center"/>
    </xf>
    <xf numFmtId="1" fontId="45" fillId="14" borderId="13" xfId="0" applyNumberFormat="1" applyFont="1" applyFill="1" applyBorder="1" applyAlignment="1" applyProtection="1">
      <alignment horizontal="center" vertical="center"/>
    </xf>
    <xf numFmtId="2" fontId="46" fillId="14" borderId="13" xfId="0" applyNumberFormat="1" applyFont="1" applyFill="1" applyBorder="1" applyAlignment="1" applyProtection="1">
      <alignment horizontal="center" vertical="center"/>
    </xf>
    <xf numFmtId="2" fontId="46" fillId="14" borderId="12" xfId="0" applyNumberFormat="1" applyFont="1" applyFill="1" applyBorder="1" applyAlignment="1" applyProtection="1">
      <alignment horizontal="center" vertical="center"/>
    </xf>
    <xf numFmtId="0" fontId="45" fillId="8" borderId="12" xfId="0" applyFont="1" applyFill="1" applyBorder="1" applyAlignment="1" applyProtection="1">
      <alignment horizontal="center" vertical="center"/>
    </xf>
    <xf numFmtId="164" fontId="46" fillId="8" borderId="13" xfId="0" applyNumberFormat="1" applyFont="1" applyFill="1" applyBorder="1" applyAlignment="1" applyProtection="1">
      <alignment horizontal="center" vertical="center"/>
    </xf>
    <xf numFmtId="2" fontId="45" fillId="8" borderId="12" xfId="0" applyNumberFormat="1" applyFont="1" applyFill="1" applyBorder="1" applyAlignment="1" applyProtection="1">
      <alignment horizontal="center" vertical="center"/>
    </xf>
    <xf numFmtId="2" fontId="45" fillId="8" borderId="13" xfId="0" applyNumberFormat="1" applyFont="1" applyFill="1" applyBorder="1" applyAlignment="1" applyProtection="1">
      <alignment horizontal="center" vertical="center"/>
    </xf>
    <xf numFmtId="1" fontId="45" fillId="8" borderId="13" xfId="0" applyNumberFormat="1" applyFont="1" applyFill="1" applyBorder="1" applyAlignment="1" applyProtection="1">
      <alignment horizontal="center" vertical="center"/>
    </xf>
    <xf numFmtId="2" fontId="46" fillId="8" borderId="13" xfId="0" applyNumberFormat="1" applyFont="1" applyFill="1" applyBorder="1" applyAlignment="1" applyProtection="1">
      <alignment horizontal="center" vertical="center"/>
    </xf>
    <xf numFmtId="2" fontId="46" fillId="8" borderId="12" xfId="0" applyNumberFormat="1" applyFont="1" applyFill="1" applyBorder="1" applyAlignment="1" applyProtection="1">
      <alignment horizontal="center" vertical="center"/>
    </xf>
    <xf numFmtId="164" fontId="26" fillId="2" borderId="0" xfId="0" applyNumberFormat="1" applyFont="1" applyFill="1" applyBorder="1" applyAlignment="1" applyProtection="1">
      <alignment horizontal="center"/>
    </xf>
    <xf numFmtId="0" fontId="45" fillId="17" borderId="12" xfId="0" applyFont="1" applyFill="1" applyBorder="1" applyAlignment="1" applyProtection="1">
      <alignment horizontal="center" vertical="center"/>
    </xf>
    <xf numFmtId="164" fontId="46" fillId="17" borderId="13" xfId="0" applyNumberFormat="1" applyFont="1" applyFill="1" applyBorder="1" applyAlignment="1" applyProtection="1">
      <alignment horizontal="center" vertical="center"/>
    </xf>
    <xf numFmtId="2" fontId="45" fillId="17" borderId="12" xfId="0" applyNumberFormat="1" applyFont="1" applyFill="1" applyBorder="1" applyAlignment="1" applyProtection="1">
      <alignment horizontal="center" vertical="center"/>
    </xf>
    <xf numFmtId="2" fontId="45" fillId="17" borderId="13" xfId="0" applyNumberFormat="1" applyFont="1" applyFill="1" applyBorder="1" applyAlignment="1" applyProtection="1">
      <alignment horizontal="center" vertical="center"/>
    </xf>
    <xf numFmtId="1" fontId="45" fillId="17" borderId="13" xfId="0" applyNumberFormat="1" applyFont="1" applyFill="1" applyBorder="1" applyAlignment="1" applyProtection="1">
      <alignment horizontal="center" vertical="center"/>
    </xf>
    <xf numFmtId="2" fontId="46" fillId="17" borderId="13" xfId="0" applyNumberFormat="1" applyFont="1" applyFill="1" applyBorder="1" applyAlignment="1" applyProtection="1">
      <alignment horizontal="center" vertical="center"/>
    </xf>
    <xf numFmtId="2" fontId="46" fillId="17" borderId="12" xfId="0" applyNumberFormat="1" applyFont="1" applyFill="1" applyBorder="1" applyAlignment="1" applyProtection="1">
      <alignment horizontal="center" vertical="center"/>
    </xf>
    <xf numFmtId="0" fontId="45" fillId="17" borderId="12" xfId="0" applyNumberFormat="1" applyFont="1" applyFill="1" applyBorder="1" applyAlignment="1" applyProtection="1">
      <alignment horizontal="center" vertical="center"/>
    </xf>
    <xf numFmtId="9" fontId="7" fillId="2" borderId="0" xfId="2" applyFont="1" applyFill="1" applyProtection="1"/>
    <xf numFmtId="0" fontId="7" fillId="0" borderId="0" xfId="0" applyFont="1" applyFill="1" applyProtection="1"/>
    <xf numFmtId="0" fontId="5" fillId="0" borderId="0" xfId="0" applyFont="1" applyFill="1" applyAlignment="1" applyProtection="1">
      <alignment horizontal="center"/>
    </xf>
    <xf numFmtId="0" fontId="7" fillId="0" borderId="0" xfId="0" applyFont="1" applyFill="1" applyAlignment="1" applyProtection="1">
      <alignment horizontal="center"/>
    </xf>
    <xf numFmtId="0" fontId="4" fillId="0" borderId="0" xfId="0" applyFont="1" applyFill="1" applyAlignment="1" applyProtection="1">
      <alignment horizontal="center"/>
    </xf>
    <xf numFmtId="0" fontId="18" fillId="0" borderId="0" xfId="0" applyFont="1" applyFill="1" applyProtection="1"/>
    <xf numFmtId="0" fontId="19" fillId="0" borderId="0" xfId="0" applyFont="1" applyFill="1" applyProtection="1"/>
    <xf numFmtId="0" fontId="5" fillId="0" borderId="0" xfId="0" applyFont="1" applyAlignment="1" applyProtection="1">
      <alignment horizontal="center"/>
    </xf>
    <xf numFmtId="0" fontId="7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center"/>
    </xf>
    <xf numFmtId="0" fontId="18" fillId="0" borderId="0" xfId="0" applyFont="1" applyProtection="1"/>
    <xf numFmtId="0" fontId="19" fillId="0" borderId="0" xfId="0" applyFont="1" applyProtection="1"/>
    <xf numFmtId="0" fontId="38" fillId="11" borderId="5" xfId="0" applyFont="1" applyFill="1" applyBorder="1" applyAlignment="1" applyProtection="1"/>
    <xf numFmtId="0" fontId="38" fillId="11" borderId="0" xfId="0" applyFont="1" applyFill="1" applyAlignment="1" applyProtection="1"/>
    <xf numFmtId="0" fontId="7" fillId="11" borderId="0" xfId="0" applyFont="1" applyFill="1" applyProtection="1"/>
    <xf numFmtId="0" fontId="7" fillId="2" borderId="12" xfId="0" applyFont="1" applyFill="1" applyBorder="1" applyAlignment="1" applyProtection="1">
      <alignment horizontal="center" vertical="center"/>
    </xf>
    <xf numFmtId="0" fontId="7" fillId="2" borderId="4" xfId="0" applyFont="1" applyFill="1" applyBorder="1" applyProtection="1"/>
    <xf numFmtId="0" fontId="6" fillId="2" borderId="12" xfId="0" applyFont="1" applyFill="1" applyBorder="1" applyAlignment="1" applyProtection="1">
      <alignment horizontal="center" vertical="center"/>
    </xf>
    <xf numFmtId="164" fontId="7" fillId="3" borderId="12" xfId="0" applyNumberFormat="1" applyFont="1" applyFill="1" applyBorder="1" applyAlignment="1" applyProtection="1">
      <alignment horizontal="center" vertical="center"/>
    </xf>
    <xf numFmtId="0" fontId="7" fillId="3" borderId="12" xfId="0" applyFont="1" applyFill="1" applyBorder="1" applyAlignment="1" applyProtection="1">
      <alignment horizontal="center" vertical="center"/>
    </xf>
    <xf numFmtId="166" fontId="7" fillId="3" borderId="12" xfId="0" applyNumberFormat="1" applyFont="1" applyFill="1" applyBorder="1" applyAlignment="1" applyProtection="1">
      <alignment horizontal="center" vertical="center"/>
    </xf>
    <xf numFmtId="2" fontId="7" fillId="3" borderId="12" xfId="0" applyNumberFormat="1" applyFont="1" applyFill="1" applyBorder="1" applyAlignment="1" applyProtection="1">
      <alignment horizontal="center" vertical="center"/>
    </xf>
    <xf numFmtId="165" fontId="7" fillId="3" borderId="12" xfId="0" applyNumberFormat="1" applyFont="1" applyFill="1" applyBorder="1" applyAlignment="1" applyProtection="1">
      <alignment horizontal="center" vertical="center"/>
    </xf>
    <xf numFmtId="3" fontId="7" fillId="3" borderId="12" xfId="0" applyNumberFormat="1" applyFont="1" applyFill="1" applyBorder="1" applyAlignment="1" applyProtection="1">
      <alignment horizontal="center" vertical="center"/>
    </xf>
    <xf numFmtId="2" fontId="7" fillId="2" borderId="0" xfId="0" applyNumberFormat="1" applyFont="1" applyFill="1" applyBorder="1" applyAlignment="1" applyProtection="1">
      <alignment horizontal="center" vertical="center"/>
    </xf>
    <xf numFmtId="0" fontId="7" fillId="18" borderId="12" xfId="0" applyFont="1" applyFill="1" applyBorder="1" applyAlignment="1" applyProtection="1">
      <alignment horizontal="center"/>
    </xf>
    <xf numFmtId="165" fontId="7" fillId="18" borderId="17" xfId="0" applyNumberFormat="1" applyFont="1" applyFill="1" applyBorder="1" applyAlignment="1" applyProtection="1">
      <alignment horizontal="center" vertical="center"/>
    </xf>
    <xf numFmtId="169" fontId="7" fillId="2" borderId="12" xfId="0" applyNumberFormat="1" applyFont="1" applyFill="1" applyBorder="1" applyAlignment="1" applyProtection="1">
      <alignment horizontal="center" vertical="center"/>
    </xf>
    <xf numFmtId="166" fontId="7" fillId="3" borderId="16" xfId="0" applyNumberFormat="1" applyFont="1" applyFill="1" applyBorder="1" applyAlignment="1" applyProtection="1">
      <alignment horizontal="center" vertical="center"/>
    </xf>
    <xf numFmtId="1" fontId="7" fillId="3" borderId="12" xfId="0" applyNumberFormat="1" applyFont="1" applyFill="1" applyBorder="1" applyAlignment="1" applyProtection="1">
      <alignment horizontal="center" vertical="center"/>
    </xf>
    <xf numFmtId="0" fontId="6" fillId="2" borderId="14" xfId="0" applyFont="1" applyFill="1" applyBorder="1" applyAlignment="1" applyProtection="1">
      <alignment horizontal="center" vertical="center"/>
    </xf>
    <xf numFmtId="165" fontId="7" fillId="2" borderId="12" xfId="0" applyNumberFormat="1" applyFont="1" applyFill="1" applyBorder="1" applyAlignment="1" applyProtection="1">
      <alignment horizontal="center" vertical="center"/>
    </xf>
    <xf numFmtId="2" fontId="7" fillId="2" borderId="17" xfId="0" applyNumberFormat="1" applyFont="1" applyFill="1" applyBorder="1" applyAlignment="1" applyProtection="1">
      <alignment horizontal="center" vertical="center"/>
    </xf>
    <xf numFmtId="0" fontId="6" fillId="2" borderId="30" xfId="0" applyFont="1" applyFill="1" applyBorder="1" applyAlignment="1" applyProtection="1">
      <alignment horizontal="center"/>
    </xf>
    <xf numFmtId="9" fontId="7" fillId="2" borderId="9" xfId="2" applyNumberFormat="1" applyFont="1" applyFill="1" applyBorder="1" applyAlignment="1" applyProtection="1">
      <alignment horizontal="center" vertical="center"/>
    </xf>
    <xf numFmtId="9" fontId="7" fillId="2" borderId="30" xfId="2" applyNumberFormat="1" applyFont="1" applyFill="1" applyBorder="1" applyAlignment="1" applyProtection="1">
      <alignment horizontal="center" vertical="center"/>
    </xf>
    <xf numFmtId="2" fontId="7" fillId="2" borderId="14" xfId="0" applyNumberFormat="1" applyFont="1" applyFill="1" applyBorder="1" applyAlignment="1" applyProtection="1">
      <alignment horizontal="center"/>
    </xf>
    <xf numFmtId="2" fontId="7" fillId="2" borderId="12" xfId="0" applyNumberFormat="1" applyFont="1" applyFill="1" applyBorder="1" applyAlignment="1" applyProtection="1">
      <alignment horizontal="center"/>
    </xf>
    <xf numFmtId="2" fontId="7" fillId="2" borderId="5" xfId="0" applyNumberFormat="1" applyFont="1" applyFill="1" applyBorder="1" applyAlignment="1" applyProtection="1">
      <alignment horizontal="center"/>
    </xf>
    <xf numFmtId="2" fontId="7" fillId="2" borderId="0" xfId="0" applyNumberFormat="1" applyFont="1" applyFill="1" applyBorder="1" applyAlignment="1" applyProtection="1">
      <alignment horizontal="center"/>
    </xf>
    <xf numFmtId="0" fontId="4" fillId="2" borderId="0" xfId="0" applyFont="1" applyFill="1" applyBorder="1" applyAlignment="1" applyProtection="1"/>
    <xf numFmtId="173" fontId="1" fillId="2" borderId="0" xfId="0" applyNumberFormat="1" applyFont="1" applyFill="1" applyBorder="1" applyAlignment="1" applyProtection="1"/>
    <xf numFmtId="0" fontId="7" fillId="2" borderId="5" xfId="0" applyFont="1" applyFill="1" applyBorder="1" applyProtection="1"/>
    <xf numFmtId="0" fontId="7" fillId="2" borderId="0" xfId="0" applyFont="1" applyFill="1" applyBorder="1" applyAlignment="1" applyProtection="1">
      <alignment horizontal="right"/>
    </xf>
    <xf numFmtId="0" fontId="6" fillId="2" borderId="5" xfId="0" applyFont="1" applyFill="1" applyBorder="1" applyProtection="1"/>
    <xf numFmtId="164" fontId="7" fillId="12" borderId="0" xfId="0" applyNumberFormat="1" applyFont="1" applyFill="1" applyBorder="1" applyAlignment="1" applyProtection="1">
      <alignment horizontal="center"/>
    </xf>
    <xf numFmtId="0" fontId="7" fillId="2" borderId="0" xfId="0" applyFont="1" applyFill="1" applyBorder="1" applyAlignment="1" applyProtection="1">
      <alignment horizontal="left"/>
    </xf>
    <xf numFmtId="164" fontId="7" fillId="5" borderId="0" xfId="0" applyNumberFormat="1" applyFont="1" applyFill="1" applyBorder="1" applyAlignment="1" applyProtection="1">
      <alignment horizontal="center"/>
    </xf>
    <xf numFmtId="164" fontId="7" fillId="6" borderId="0" xfId="0" applyNumberFormat="1" applyFont="1" applyFill="1" applyBorder="1" applyAlignment="1" applyProtection="1">
      <alignment horizontal="center"/>
    </xf>
    <xf numFmtId="164" fontId="7" fillId="7" borderId="0" xfId="0" applyNumberFormat="1" applyFont="1" applyFill="1" applyBorder="1" applyAlignment="1" applyProtection="1">
      <alignment horizontal="center"/>
    </xf>
    <xf numFmtId="164" fontId="7" fillId="13" borderId="0" xfId="0" applyNumberFormat="1" applyFont="1" applyFill="1" applyBorder="1" applyAlignment="1" applyProtection="1">
      <alignment horizontal="center"/>
    </xf>
    <xf numFmtId="0" fontId="6" fillId="2" borderId="0" xfId="0" applyFont="1" applyFill="1" applyBorder="1" applyProtection="1"/>
    <xf numFmtId="164" fontId="7" fillId="13" borderId="0" xfId="0" applyNumberFormat="1" applyFont="1" applyFill="1" applyBorder="1" applyAlignment="1" applyProtection="1">
      <alignment horizontal="center" vertical="center"/>
    </xf>
    <xf numFmtId="164" fontId="10" fillId="2" borderId="0" xfId="0" applyNumberFormat="1" applyFont="1" applyFill="1" applyBorder="1" applyAlignment="1" applyProtection="1">
      <alignment vertical="center"/>
    </xf>
    <xf numFmtId="164" fontId="10" fillId="2" borderId="4" xfId="0" applyNumberFormat="1" applyFont="1" applyFill="1" applyBorder="1" applyAlignment="1" applyProtection="1">
      <alignment vertical="center"/>
    </xf>
    <xf numFmtId="0" fontId="7" fillId="2" borderId="0" xfId="0" applyFont="1" applyFill="1" applyBorder="1" applyAlignment="1" applyProtection="1">
      <alignment vertical="center"/>
    </xf>
    <xf numFmtId="164" fontId="7" fillId="2" borderId="0" xfId="0" applyNumberFormat="1" applyFont="1" applyFill="1" applyBorder="1" applyAlignment="1" applyProtection="1">
      <alignment horizontal="center"/>
    </xf>
    <xf numFmtId="0" fontId="7" fillId="2" borderId="4" xfId="0" applyFont="1" applyFill="1" applyBorder="1" applyAlignment="1" applyProtection="1">
      <alignment horizontal="center"/>
    </xf>
    <xf numFmtId="0" fontId="7" fillId="2" borderId="24" xfId="0" applyFont="1" applyFill="1" applyBorder="1" applyProtection="1"/>
    <xf numFmtId="0" fontId="7" fillId="2" borderId="9" xfId="0" applyFont="1" applyFill="1" applyBorder="1" applyProtection="1"/>
    <xf numFmtId="0" fontId="7" fillId="2" borderId="3" xfId="0" applyFont="1" applyFill="1" applyBorder="1" applyAlignment="1" applyProtection="1"/>
    <xf numFmtId="0" fontId="7" fillId="2" borderId="9" xfId="0" applyFont="1" applyFill="1" applyBorder="1" applyAlignment="1" applyProtection="1">
      <alignment horizontal="center"/>
    </xf>
    <xf numFmtId="0" fontId="6" fillId="2" borderId="5" xfId="0" applyFont="1" applyFill="1" applyBorder="1" applyAlignment="1" applyProtection="1">
      <alignment horizontal="left"/>
    </xf>
    <xf numFmtId="0" fontId="7" fillId="2" borderId="15" xfId="0" applyFont="1" applyFill="1" applyBorder="1" applyProtection="1"/>
    <xf numFmtId="0" fontId="7" fillId="2" borderId="15" xfId="0" applyFont="1" applyFill="1" applyBorder="1" applyAlignment="1" applyProtection="1">
      <alignment horizontal="center"/>
    </xf>
    <xf numFmtId="164" fontId="1" fillId="2" borderId="8" xfId="0" applyNumberFormat="1" applyFont="1" applyFill="1" applyBorder="1" applyAlignment="1" applyProtection="1">
      <alignment horizontal="left"/>
    </xf>
    <xf numFmtId="0" fontId="1" fillId="2" borderId="0" xfId="0" applyFont="1" applyFill="1" applyBorder="1" applyAlignment="1" applyProtection="1">
      <alignment horizontal="center"/>
    </xf>
    <xf numFmtId="165" fontId="1" fillId="2" borderId="0" xfId="0" applyNumberFormat="1" applyFont="1" applyFill="1" applyBorder="1" applyAlignment="1" applyProtection="1">
      <alignment horizontal="center" vertical="center"/>
    </xf>
    <xf numFmtId="164" fontId="1" fillId="2" borderId="4" xfId="0" applyNumberFormat="1" applyFont="1" applyFill="1" applyBorder="1" applyAlignment="1" applyProtection="1">
      <alignment horizontal="center"/>
    </xf>
    <xf numFmtId="0" fontId="7" fillId="2" borderId="5" xfId="0" applyFont="1" applyFill="1" applyBorder="1" applyAlignment="1" applyProtection="1">
      <alignment horizontal="left"/>
    </xf>
    <xf numFmtId="1" fontId="48" fillId="2" borderId="0" xfId="0" applyNumberFormat="1" applyFont="1" applyFill="1" applyBorder="1" applyAlignment="1" applyProtection="1">
      <alignment horizontal="center"/>
    </xf>
    <xf numFmtId="166" fontId="7" fillId="6" borderId="0" xfId="0" applyNumberFormat="1" applyFont="1" applyFill="1" applyBorder="1" applyAlignment="1" applyProtection="1">
      <alignment horizontal="center"/>
    </xf>
    <xf numFmtId="0" fontId="7" fillId="2" borderId="15" xfId="0" applyFont="1" applyFill="1" applyBorder="1" applyAlignment="1" applyProtection="1">
      <alignment horizontal="left"/>
    </xf>
    <xf numFmtId="164" fontId="1" fillId="2" borderId="8" xfId="0" applyNumberFormat="1" applyFont="1" applyFill="1" applyBorder="1" applyAlignment="1" applyProtection="1">
      <alignment horizontal="center"/>
    </xf>
    <xf numFmtId="167" fontId="1" fillId="3" borderId="0" xfId="0" applyNumberFormat="1" applyFont="1" applyFill="1" applyBorder="1" applyAlignment="1" applyProtection="1">
      <alignment horizontal="center"/>
    </xf>
    <xf numFmtId="0" fontId="1" fillId="2" borderId="0" xfId="0" applyFont="1" applyFill="1" applyBorder="1" applyAlignment="1" applyProtection="1">
      <alignment horizontal="left"/>
    </xf>
    <xf numFmtId="165" fontId="1" fillId="2" borderId="4" xfId="0" applyNumberFormat="1" applyFont="1" applyFill="1" applyBorder="1" applyAlignment="1" applyProtection="1">
      <alignment vertical="center"/>
    </xf>
    <xf numFmtId="168" fontId="1" fillId="2" borderId="0" xfId="0" applyNumberFormat="1" applyFont="1" applyFill="1" applyBorder="1" applyAlignment="1" applyProtection="1">
      <alignment horizontal="center"/>
    </xf>
    <xf numFmtId="0" fontId="1" fillId="2" borderId="15" xfId="0" applyFont="1" applyFill="1" applyBorder="1" applyAlignment="1" applyProtection="1"/>
    <xf numFmtId="0" fontId="7" fillId="2" borderId="8" xfId="0" applyFont="1" applyFill="1" applyBorder="1" applyAlignment="1" applyProtection="1">
      <alignment horizontal="center"/>
    </xf>
    <xf numFmtId="164" fontId="7" fillId="10" borderId="0" xfId="0" applyNumberFormat="1" applyFont="1" applyFill="1" applyBorder="1" applyAlignment="1" applyProtection="1">
      <alignment horizontal="center"/>
    </xf>
    <xf numFmtId="165" fontId="1" fillId="2" borderId="4" xfId="0" applyNumberFormat="1" applyFont="1" applyFill="1" applyBorder="1" applyAlignment="1" applyProtection="1">
      <alignment horizontal="center" vertical="center"/>
    </xf>
    <xf numFmtId="9" fontId="1" fillId="2" borderId="0" xfId="2" applyFont="1" applyFill="1" applyBorder="1" applyAlignment="1" applyProtection="1">
      <alignment horizontal="center"/>
    </xf>
    <xf numFmtId="0" fontId="1" fillId="2" borderId="15" xfId="0" applyFont="1" applyFill="1" applyBorder="1" applyProtection="1"/>
    <xf numFmtId="0" fontId="1" fillId="9" borderId="0" xfId="0" applyFont="1" applyFill="1" applyBorder="1" applyAlignment="1" applyProtection="1">
      <alignment horizontal="center"/>
    </xf>
    <xf numFmtId="165" fontId="1" fillId="2" borderId="4" xfId="0" applyNumberFormat="1" applyFont="1" applyFill="1" applyBorder="1" applyAlignment="1" applyProtection="1">
      <alignment horizontal="left" vertical="center"/>
    </xf>
    <xf numFmtId="4" fontId="7" fillId="2" borderId="0" xfId="0" applyNumberFormat="1" applyFont="1" applyFill="1" applyBorder="1" applyAlignment="1" applyProtection="1">
      <alignment horizontal="right"/>
    </xf>
    <xf numFmtId="9" fontId="7" fillId="2" borderId="0" xfId="2" applyFont="1" applyFill="1" applyBorder="1" applyAlignment="1" applyProtection="1">
      <alignment horizontal="center"/>
    </xf>
    <xf numFmtId="164" fontId="1" fillId="2" borderId="0" xfId="0" applyNumberFormat="1" applyFont="1" applyFill="1" applyBorder="1" applyAlignment="1" applyProtection="1">
      <alignment horizontal="left"/>
    </xf>
    <xf numFmtId="0" fontId="1" fillId="2" borderId="4" xfId="0" applyFont="1" applyFill="1" applyBorder="1" applyAlignment="1" applyProtection="1">
      <alignment horizontal="left"/>
    </xf>
    <xf numFmtId="9" fontId="7" fillId="2" borderId="0" xfId="0" applyNumberFormat="1" applyFont="1" applyFill="1" applyBorder="1" applyAlignment="1" applyProtection="1">
      <alignment horizontal="center"/>
    </xf>
    <xf numFmtId="3" fontId="1" fillId="3" borderId="0" xfId="0" applyNumberFormat="1" applyFont="1" applyFill="1" applyBorder="1" applyAlignment="1" applyProtection="1">
      <alignment horizontal="center"/>
    </xf>
    <xf numFmtId="0" fontId="6" fillId="2" borderId="0" xfId="0" applyFont="1" applyFill="1" applyBorder="1" applyAlignment="1" applyProtection="1">
      <alignment horizontal="left"/>
    </xf>
    <xf numFmtId="0" fontId="1" fillId="2" borderId="4" xfId="0" applyFont="1" applyFill="1" applyBorder="1" applyAlignment="1" applyProtection="1">
      <alignment horizontal="center"/>
    </xf>
    <xf numFmtId="0" fontId="7" fillId="2" borderId="22" xfId="0" applyFont="1" applyFill="1" applyBorder="1" applyProtection="1"/>
    <xf numFmtId="0" fontId="7" fillId="2" borderId="6" xfId="0" applyFont="1" applyFill="1" applyBorder="1" applyAlignment="1" applyProtection="1">
      <alignment horizontal="left"/>
    </xf>
    <xf numFmtId="0" fontId="7" fillId="2" borderId="1" xfId="0" applyFont="1" applyFill="1" applyBorder="1" applyAlignment="1" applyProtection="1">
      <alignment horizontal="center"/>
    </xf>
    <xf numFmtId="0" fontId="1" fillId="2" borderId="1" xfId="0" applyFont="1" applyFill="1" applyBorder="1" applyProtection="1"/>
    <xf numFmtId="4" fontId="7" fillId="2" borderId="1" xfId="0" applyNumberFormat="1" applyFont="1" applyFill="1" applyBorder="1" applyAlignment="1" applyProtection="1">
      <alignment horizontal="right"/>
    </xf>
    <xf numFmtId="0" fontId="1" fillId="2" borderId="1" xfId="0" applyFont="1" applyFill="1" applyBorder="1" applyAlignment="1" applyProtection="1">
      <alignment horizontal="center"/>
    </xf>
    <xf numFmtId="9" fontId="7" fillId="2" borderId="1" xfId="2" applyFont="1" applyFill="1" applyBorder="1" applyAlignment="1" applyProtection="1">
      <alignment horizontal="center"/>
    </xf>
    <xf numFmtId="0" fontId="1" fillId="2" borderId="6" xfId="0" applyFont="1" applyFill="1" applyBorder="1" applyAlignment="1" applyProtection="1">
      <alignment horizontal="left"/>
    </xf>
    <xf numFmtId="167" fontId="7" fillId="2" borderId="1" xfId="0" applyNumberFormat="1" applyFont="1" applyFill="1" applyBorder="1" applyAlignment="1" applyProtection="1">
      <alignment horizontal="right"/>
    </xf>
    <xf numFmtId="0" fontId="1" fillId="2" borderId="2" xfId="0" applyFont="1" applyFill="1" applyBorder="1" applyAlignment="1" applyProtection="1">
      <alignment horizontal="center"/>
    </xf>
    <xf numFmtId="0" fontId="6" fillId="2" borderId="24" xfId="0" applyFont="1" applyFill="1" applyBorder="1" applyAlignment="1" applyProtection="1">
      <alignment horizontal="left"/>
    </xf>
    <xf numFmtId="0" fontId="1" fillId="2" borderId="4" xfId="0" applyFont="1" applyFill="1" applyBorder="1" applyAlignment="1" applyProtection="1"/>
    <xf numFmtId="165" fontId="7" fillId="2" borderId="0" xfId="0" applyNumberFormat="1" applyFont="1" applyFill="1" applyBorder="1" applyAlignment="1" applyProtection="1">
      <alignment horizontal="center"/>
    </xf>
    <xf numFmtId="164" fontId="7" fillId="12" borderId="0" xfId="0" applyNumberFormat="1" applyFont="1" applyFill="1" applyBorder="1" applyProtection="1"/>
    <xf numFmtId="0" fontId="1" fillId="2" borderId="4" xfId="0" applyFont="1" applyFill="1" applyBorder="1" applyProtection="1"/>
    <xf numFmtId="164" fontId="7" fillId="5" borderId="0" xfId="0" applyNumberFormat="1" applyFont="1" applyFill="1" applyBorder="1" applyProtection="1"/>
    <xf numFmtId="165" fontId="7" fillId="2" borderId="0" xfId="0" applyNumberFormat="1" applyFont="1" applyFill="1" applyBorder="1" applyProtection="1"/>
    <xf numFmtId="164" fontId="7" fillId="7" borderId="0" xfId="0" applyNumberFormat="1" applyFont="1" applyFill="1" applyBorder="1" applyProtection="1"/>
    <xf numFmtId="164" fontId="7" fillId="6" borderId="0" xfId="0" applyNumberFormat="1" applyFont="1" applyFill="1" applyBorder="1" applyProtection="1"/>
    <xf numFmtId="164" fontId="1" fillId="2" borderId="4" xfId="0" applyNumberFormat="1" applyFont="1" applyFill="1" applyBorder="1" applyProtection="1"/>
    <xf numFmtId="164" fontId="7" fillId="2" borderId="0" xfId="0" applyNumberFormat="1" applyFont="1" applyFill="1" applyBorder="1" applyProtection="1"/>
    <xf numFmtId="0" fontId="20" fillId="2" borderId="0" xfId="0" applyFont="1" applyFill="1" applyBorder="1" applyProtection="1"/>
    <xf numFmtId="0" fontId="6" fillId="2" borderId="0" xfId="0" applyFont="1" applyFill="1" applyBorder="1" applyAlignment="1" applyProtection="1">
      <alignment horizontal="center"/>
    </xf>
    <xf numFmtId="0" fontId="20" fillId="2" borderId="0" xfId="0" applyFont="1" applyFill="1" applyBorder="1" applyAlignment="1" applyProtection="1">
      <alignment horizontal="center"/>
    </xf>
    <xf numFmtId="0" fontId="20" fillId="2" borderId="0" xfId="0" applyFont="1" applyFill="1" applyBorder="1" applyAlignment="1" applyProtection="1">
      <alignment horizontal="right"/>
    </xf>
    <xf numFmtId="0" fontId="20" fillId="2" borderId="0" xfId="0" applyFont="1" applyFill="1" applyBorder="1" applyAlignment="1" applyProtection="1">
      <alignment horizontal="left"/>
    </xf>
    <xf numFmtId="9" fontId="7" fillId="2" borderId="0" xfId="2" applyNumberFormat="1" applyFont="1" applyFill="1" applyBorder="1" applyAlignment="1" applyProtection="1">
      <alignment horizontal="center"/>
    </xf>
    <xf numFmtId="1" fontId="7" fillId="2" borderId="0" xfId="0" applyNumberFormat="1" applyFont="1" applyFill="1" applyBorder="1" applyAlignment="1" applyProtection="1">
      <alignment horizontal="center"/>
    </xf>
    <xf numFmtId="2" fontId="7" fillId="2" borderId="28" xfId="0" applyNumberFormat="1" applyFont="1" applyFill="1" applyBorder="1" applyAlignment="1" applyProtection="1">
      <alignment horizontal="center"/>
    </xf>
    <xf numFmtId="0" fontId="7" fillId="2" borderId="28" xfId="0" applyFont="1" applyFill="1" applyBorder="1" applyProtection="1"/>
    <xf numFmtId="0" fontId="7" fillId="2" borderId="28" xfId="0" applyFont="1" applyFill="1" applyBorder="1" applyAlignment="1" applyProtection="1">
      <alignment horizontal="center"/>
    </xf>
    <xf numFmtId="165" fontId="7" fillId="2" borderId="28" xfId="0" applyNumberFormat="1" applyFont="1" applyFill="1" applyBorder="1" applyAlignment="1" applyProtection="1">
      <alignment horizontal="center"/>
    </xf>
    <xf numFmtId="0" fontId="7" fillId="2" borderId="26" xfId="0" applyFont="1" applyFill="1" applyBorder="1" applyProtection="1"/>
    <xf numFmtId="0" fontId="1" fillId="2" borderId="26" xfId="0" applyFont="1" applyFill="1" applyBorder="1" applyProtection="1"/>
    <xf numFmtId="0" fontId="1" fillId="2" borderId="27" xfId="0" applyFont="1" applyFill="1" applyBorder="1" applyProtection="1"/>
    <xf numFmtId="0" fontId="7" fillId="2" borderId="19" xfId="0" applyFont="1" applyFill="1" applyBorder="1" applyProtection="1"/>
    <xf numFmtId="0" fontId="7" fillId="2" borderId="20" xfId="0" applyFont="1" applyFill="1" applyBorder="1" applyProtection="1"/>
    <xf numFmtId="0" fontId="7" fillId="2" borderId="20" xfId="0" applyFont="1" applyFill="1" applyBorder="1" applyAlignment="1" applyProtection="1">
      <alignment horizontal="center"/>
    </xf>
    <xf numFmtId="0" fontId="7" fillId="11" borderId="0" xfId="0" applyFont="1" applyFill="1" applyBorder="1" applyProtection="1"/>
    <xf numFmtId="0" fontId="1" fillId="0" borderId="0" xfId="0" applyFont="1" applyFill="1" applyProtection="1"/>
    <xf numFmtId="0" fontId="1" fillId="0" borderId="0" xfId="0" applyFont="1" applyFill="1" applyBorder="1" applyProtection="1"/>
    <xf numFmtId="0" fontId="12" fillId="0" borderId="0" xfId="0" applyFont="1" applyFill="1" applyBorder="1" applyAlignment="1" applyProtection="1">
      <alignment vertical="center"/>
    </xf>
    <xf numFmtId="0" fontId="7" fillId="0" borderId="0" xfId="0" applyFont="1" applyBorder="1" applyProtection="1"/>
    <xf numFmtId="0" fontId="1" fillId="0" borderId="0" xfId="0" applyFont="1" applyProtection="1"/>
    <xf numFmtId="0" fontId="3" fillId="2" borderId="5" xfId="1" applyFill="1" applyBorder="1" applyAlignment="1" applyProtection="1"/>
    <xf numFmtId="0" fontId="7" fillId="2" borderId="0" xfId="0" applyFont="1" applyFill="1" applyBorder="1" applyAlignment="1" applyProtection="1">
      <alignment horizontal="center"/>
    </xf>
    <xf numFmtId="0" fontId="15" fillId="2" borderId="19" xfId="0" applyFont="1" applyFill="1" applyBorder="1" applyAlignment="1" applyProtection="1">
      <alignment horizontal="center"/>
    </xf>
    <xf numFmtId="0" fontId="15" fillId="2" borderId="20" xfId="0" applyFont="1" applyFill="1" applyBorder="1" applyAlignment="1" applyProtection="1">
      <alignment horizontal="center"/>
    </xf>
    <xf numFmtId="0" fontId="15" fillId="2" borderId="21" xfId="0" applyFont="1" applyFill="1" applyBorder="1" applyAlignment="1" applyProtection="1">
      <alignment horizontal="center"/>
    </xf>
    <xf numFmtId="0" fontId="8" fillId="2" borderId="5" xfId="0" applyFont="1" applyFill="1" applyBorder="1" applyAlignment="1" applyProtection="1">
      <alignment horizontal="center" vertical="center"/>
    </xf>
    <xf numFmtId="0" fontId="8" fillId="2" borderId="0" xfId="0" applyFont="1" applyFill="1" applyBorder="1" applyAlignment="1" applyProtection="1">
      <alignment horizontal="center" vertical="center"/>
    </xf>
    <xf numFmtId="0" fontId="8" fillId="2" borderId="4" xfId="0" applyFont="1" applyFill="1" applyBorder="1" applyAlignment="1" applyProtection="1">
      <alignment horizontal="center" vertical="center"/>
    </xf>
    <xf numFmtId="0" fontId="7" fillId="8" borderId="17" xfId="0" applyFont="1" applyFill="1" applyBorder="1" applyAlignment="1" applyProtection="1">
      <alignment horizontal="center"/>
      <protection locked="0"/>
    </xf>
    <xf numFmtId="0" fontId="7" fillId="8" borderId="16" xfId="0" applyFont="1" applyFill="1" applyBorder="1" applyAlignment="1" applyProtection="1">
      <alignment horizontal="center"/>
      <protection locked="0"/>
    </xf>
    <xf numFmtId="0" fontId="6" fillId="2" borderId="5" xfId="0" applyFont="1" applyFill="1" applyBorder="1" applyAlignment="1" applyProtection="1">
      <alignment horizontal="center"/>
    </xf>
    <xf numFmtId="0" fontId="6" fillId="2" borderId="15" xfId="0" applyFont="1" applyFill="1" applyBorder="1" applyAlignment="1" applyProtection="1">
      <alignment horizontal="center"/>
    </xf>
    <xf numFmtId="0" fontId="1" fillId="2" borderId="5" xfId="0" applyFont="1" applyFill="1" applyBorder="1" applyAlignment="1" applyProtection="1">
      <alignment horizontal="center"/>
    </xf>
    <xf numFmtId="0" fontId="1" fillId="2" borderId="15" xfId="0" applyFont="1" applyFill="1" applyBorder="1" applyAlignment="1" applyProtection="1">
      <alignment horizontal="center"/>
    </xf>
    <xf numFmtId="0" fontId="4" fillId="2" borderId="5" xfId="0" applyFont="1" applyFill="1" applyBorder="1" applyAlignment="1" applyProtection="1">
      <alignment horizontal="center" vertical="center"/>
    </xf>
    <xf numFmtId="0" fontId="4" fillId="2" borderId="15" xfId="0" applyFont="1" applyFill="1" applyBorder="1" applyAlignment="1" applyProtection="1">
      <alignment horizontal="center" vertical="center"/>
    </xf>
    <xf numFmtId="0" fontId="7" fillId="2" borderId="17" xfId="0" applyFont="1" applyFill="1" applyBorder="1" applyAlignment="1" applyProtection="1">
      <alignment horizontal="center" vertical="center"/>
    </xf>
    <xf numFmtId="0" fontId="7" fillId="2" borderId="16" xfId="0" applyFont="1" applyFill="1" applyBorder="1" applyAlignment="1" applyProtection="1">
      <alignment horizontal="center" vertical="center"/>
    </xf>
    <xf numFmtId="0" fontId="7" fillId="2" borderId="12" xfId="0" applyFont="1" applyFill="1" applyBorder="1" applyAlignment="1" applyProtection="1">
      <alignment horizontal="center"/>
    </xf>
    <xf numFmtId="0" fontId="7" fillId="2" borderId="18" xfId="0" applyFont="1" applyFill="1" applyBorder="1" applyAlignment="1" applyProtection="1">
      <alignment horizontal="center" vertical="center"/>
    </xf>
    <xf numFmtId="0" fontId="7" fillId="2" borderId="12" xfId="0" applyFont="1" applyFill="1" applyBorder="1" applyAlignment="1" applyProtection="1">
      <alignment horizontal="center" vertical="center"/>
    </xf>
    <xf numFmtId="2" fontId="7" fillId="2" borderId="18" xfId="0" applyNumberFormat="1" applyFont="1" applyFill="1" applyBorder="1" applyAlignment="1" applyProtection="1">
      <alignment horizontal="center" vertical="center"/>
    </xf>
    <xf numFmtId="0" fontId="4" fillId="2" borderId="18" xfId="0" applyFont="1" applyFill="1" applyBorder="1" applyAlignment="1" applyProtection="1">
      <alignment horizontal="center"/>
    </xf>
    <xf numFmtId="0" fontId="7" fillId="2" borderId="23" xfId="0" applyFont="1" applyFill="1" applyBorder="1" applyAlignment="1" applyProtection="1">
      <alignment horizontal="center"/>
    </xf>
    <xf numFmtId="0" fontId="7" fillId="2" borderId="16" xfId="0" applyFont="1" applyFill="1" applyBorder="1" applyAlignment="1" applyProtection="1">
      <alignment horizontal="center"/>
    </xf>
    <xf numFmtId="0" fontId="6" fillId="2" borderId="5" xfId="0" applyFont="1" applyFill="1" applyBorder="1" applyAlignment="1" applyProtection="1">
      <alignment horizontal="left" vertical="center"/>
    </xf>
    <xf numFmtId="0" fontId="6" fillId="2" borderId="15" xfId="0" applyFont="1" applyFill="1" applyBorder="1" applyAlignment="1" applyProtection="1">
      <alignment horizontal="left" vertical="center"/>
    </xf>
    <xf numFmtId="0" fontId="1" fillId="2" borderId="0" xfId="0" applyFont="1" applyFill="1" applyBorder="1" applyAlignment="1" applyProtection="1">
      <alignment horizontal="center"/>
    </xf>
    <xf numFmtId="0" fontId="6" fillId="2" borderId="17" xfId="0" applyFont="1" applyFill="1" applyBorder="1" applyAlignment="1" applyProtection="1">
      <alignment horizontal="center"/>
    </xf>
    <xf numFmtId="0" fontId="6" fillId="2" borderId="18" xfId="0" applyFont="1" applyFill="1" applyBorder="1" applyAlignment="1" applyProtection="1">
      <alignment horizontal="center"/>
    </xf>
    <xf numFmtId="2" fontId="6" fillId="2" borderId="17" xfId="0" applyNumberFormat="1" applyFont="1" applyFill="1" applyBorder="1" applyAlignment="1" applyProtection="1">
      <alignment horizontal="center"/>
    </xf>
    <xf numFmtId="0" fontId="15" fillId="2" borderId="0" xfId="0" applyFont="1" applyFill="1" applyBorder="1" applyAlignment="1" applyProtection="1">
      <alignment horizontal="center"/>
    </xf>
    <xf numFmtId="0" fontId="7" fillId="2" borderId="3" xfId="0" applyFont="1" applyFill="1" applyBorder="1" applyAlignment="1" applyProtection="1">
      <alignment horizontal="center"/>
    </xf>
    <xf numFmtId="164" fontId="11" fillId="2" borderId="0" xfId="1" applyNumberFormat="1" applyFont="1" applyFill="1" applyBorder="1" applyAlignment="1" applyProtection="1">
      <alignment horizontal="center"/>
    </xf>
    <xf numFmtId="0" fontId="6" fillId="2" borderId="3" xfId="0" applyFont="1" applyFill="1" applyBorder="1" applyAlignment="1" applyProtection="1">
      <alignment horizontal="center"/>
    </xf>
    <xf numFmtId="164" fontId="7" fillId="2" borderId="0" xfId="0" applyNumberFormat="1" applyFont="1" applyFill="1" applyBorder="1" applyAlignment="1" applyProtection="1">
      <alignment horizontal="center"/>
    </xf>
    <xf numFmtId="0" fontId="6" fillId="2" borderId="16" xfId="0" applyFont="1" applyFill="1" applyBorder="1" applyAlignment="1" applyProtection="1">
      <alignment horizontal="center"/>
    </xf>
    <xf numFmtId="0" fontId="6" fillId="2" borderId="10" xfId="0" applyFont="1" applyFill="1" applyBorder="1" applyAlignment="1" applyProtection="1">
      <alignment horizontal="center"/>
    </xf>
    <xf numFmtId="0" fontId="6" fillId="2" borderId="11" xfId="0" applyFont="1" applyFill="1" applyBorder="1" applyAlignment="1" applyProtection="1">
      <alignment horizontal="center"/>
    </xf>
    <xf numFmtId="0" fontId="6" fillId="2" borderId="28" xfId="0" applyFont="1" applyFill="1" applyBorder="1" applyAlignment="1" applyProtection="1">
      <alignment horizontal="center"/>
    </xf>
    <xf numFmtId="0" fontId="6" fillId="2" borderId="0" xfId="0" applyFont="1" applyFill="1" applyBorder="1" applyAlignment="1" applyProtection="1">
      <alignment horizontal="center"/>
    </xf>
    <xf numFmtId="0" fontId="14" fillId="2" borderId="20" xfId="0" applyFont="1" applyFill="1" applyBorder="1" applyAlignment="1" applyProtection="1">
      <alignment horizontal="center"/>
    </xf>
    <xf numFmtId="0" fontId="14" fillId="2" borderId="21" xfId="0" applyFont="1" applyFill="1" applyBorder="1" applyAlignment="1" applyProtection="1">
      <alignment horizontal="center"/>
    </xf>
    <xf numFmtId="0" fontId="7" fillId="2" borderId="4" xfId="0" applyFont="1" applyFill="1" applyBorder="1" applyAlignment="1" applyProtection="1">
      <alignment horizontal="center"/>
    </xf>
    <xf numFmtId="164" fontId="28" fillId="17" borderId="30" xfId="0" applyNumberFormat="1" applyFont="1" applyFill="1" applyBorder="1" applyAlignment="1" applyProtection="1">
      <alignment horizontal="center" vertical="center" textRotation="180"/>
    </xf>
    <xf numFmtId="164" fontId="28" fillId="17" borderId="29" xfId="0" applyNumberFormat="1" applyFont="1" applyFill="1" applyBorder="1" applyAlignment="1" applyProtection="1">
      <alignment horizontal="center" vertical="center" textRotation="180"/>
    </xf>
    <xf numFmtId="164" fontId="28" fillId="17" borderId="13" xfId="0" applyNumberFormat="1" applyFont="1" applyFill="1" applyBorder="1" applyAlignment="1" applyProtection="1">
      <alignment horizontal="center" vertical="center" textRotation="180"/>
    </xf>
    <xf numFmtId="0" fontId="28" fillId="16" borderId="30" xfId="0" applyFont="1" applyFill="1" applyBorder="1" applyAlignment="1" applyProtection="1">
      <alignment horizontal="center" vertical="center" textRotation="180"/>
    </xf>
    <xf numFmtId="0" fontId="28" fillId="16" borderId="29" xfId="0" applyFont="1" applyFill="1" applyBorder="1" applyAlignment="1" applyProtection="1">
      <alignment horizontal="center" vertical="center" textRotation="180"/>
    </xf>
    <xf numFmtId="0" fontId="28" fillId="16" borderId="13" xfId="0" applyFont="1" applyFill="1" applyBorder="1" applyAlignment="1" applyProtection="1">
      <alignment horizontal="center" vertical="center" textRotation="180"/>
    </xf>
    <xf numFmtId="0" fontId="28" fillId="15" borderId="30" xfId="0" applyFont="1" applyFill="1" applyBorder="1" applyAlignment="1" applyProtection="1">
      <alignment horizontal="center" vertical="center" textRotation="180"/>
    </xf>
    <xf numFmtId="0" fontId="28" fillId="15" borderId="29" xfId="0" applyFont="1" applyFill="1" applyBorder="1" applyAlignment="1" applyProtection="1">
      <alignment horizontal="center" vertical="center" textRotation="180"/>
    </xf>
    <xf numFmtId="0" fontId="28" fillId="15" borderId="13" xfId="0" applyFont="1" applyFill="1" applyBorder="1" applyAlignment="1" applyProtection="1">
      <alignment horizontal="center" vertical="center" textRotation="180"/>
    </xf>
    <xf numFmtId="0" fontId="28" fillId="14" borderId="30" xfId="0" applyFont="1" applyFill="1" applyBorder="1" applyAlignment="1" applyProtection="1">
      <alignment horizontal="center" vertical="center" textRotation="180"/>
    </xf>
    <xf numFmtId="0" fontId="28" fillId="14" borderId="29" xfId="0" applyFont="1" applyFill="1" applyBorder="1" applyAlignment="1" applyProtection="1">
      <alignment horizontal="center" vertical="center" textRotation="180"/>
    </xf>
    <xf numFmtId="0" fontId="28" fillId="14" borderId="13" xfId="0" applyFont="1" applyFill="1" applyBorder="1" applyAlignment="1" applyProtection="1">
      <alignment horizontal="center" vertical="center" textRotation="180"/>
    </xf>
    <xf numFmtId="0" fontId="28" fillId="8" borderId="30" xfId="0" applyFont="1" applyFill="1" applyBorder="1" applyAlignment="1" applyProtection="1">
      <alignment horizontal="center" vertical="center" textRotation="180"/>
    </xf>
    <xf numFmtId="0" fontId="28" fillId="8" borderId="29" xfId="0" applyFont="1" applyFill="1" applyBorder="1" applyAlignment="1" applyProtection="1">
      <alignment horizontal="center" vertical="center" textRotation="180"/>
    </xf>
    <xf numFmtId="0" fontId="28" fillId="8" borderId="13" xfId="0" applyFont="1" applyFill="1" applyBorder="1" applyAlignment="1" applyProtection="1">
      <alignment horizontal="center" vertical="center" textRotation="180"/>
    </xf>
    <xf numFmtId="0" fontId="24" fillId="2" borderId="1" xfId="0" applyFont="1" applyFill="1" applyBorder="1" applyAlignment="1" applyProtection="1">
      <alignment horizontal="center"/>
    </xf>
    <xf numFmtId="0" fontId="24" fillId="2" borderId="8" xfId="0" applyFont="1" applyFill="1" applyBorder="1" applyAlignment="1" applyProtection="1">
      <alignment horizontal="center"/>
    </xf>
    <xf numFmtId="0" fontId="24" fillId="2" borderId="0" xfId="0" applyFont="1" applyFill="1" applyBorder="1" applyAlignment="1" applyProtection="1">
      <alignment horizontal="center"/>
    </xf>
    <xf numFmtId="0" fontId="28" fillId="2" borderId="1" xfId="0" applyFont="1" applyFill="1" applyBorder="1" applyAlignment="1" applyProtection="1">
      <alignment horizontal="center" vertical="center"/>
    </xf>
    <xf numFmtId="0" fontId="5" fillId="2" borderId="17" xfId="0" applyFont="1" applyFill="1" applyBorder="1" applyAlignment="1" applyProtection="1">
      <alignment horizontal="center"/>
    </xf>
    <xf numFmtId="0" fontId="5" fillId="2" borderId="16" xfId="0" applyFont="1" applyFill="1" applyBorder="1" applyAlignment="1" applyProtection="1">
      <alignment horizontal="center"/>
    </xf>
    <xf numFmtId="0" fontId="10" fillId="2" borderId="7" xfId="0" applyFont="1" applyFill="1" applyBorder="1" applyAlignment="1" applyProtection="1">
      <alignment horizontal="center"/>
    </xf>
    <xf numFmtId="0" fontId="10" fillId="2" borderId="1" xfId="0" applyFont="1" applyFill="1" applyBorder="1" applyAlignment="1" applyProtection="1">
      <alignment horizontal="center"/>
    </xf>
    <xf numFmtId="0" fontId="15" fillId="13" borderId="30" xfId="0" applyFont="1" applyFill="1" applyBorder="1" applyAlignment="1" applyProtection="1">
      <alignment horizontal="center" vertical="center"/>
    </xf>
    <xf numFmtId="0" fontId="15" fillId="13" borderId="13" xfId="0" applyFont="1" applyFill="1" applyBorder="1" applyAlignment="1" applyProtection="1">
      <alignment horizontal="center" vertical="center"/>
    </xf>
    <xf numFmtId="0" fontId="27" fillId="11" borderId="0" xfId="0" applyFont="1" applyFill="1" applyBorder="1" applyAlignment="1" applyProtection="1">
      <alignment horizontal="center"/>
    </xf>
    <xf numFmtId="0" fontId="33" fillId="13" borderId="0" xfId="0" applyFont="1" applyFill="1" applyAlignment="1" applyProtection="1">
      <alignment horizontal="center"/>
    </xf>
    <xf numFmtId="0" fontId="33" fillId="13" borderId="4" xfId="0" applyFont="1" applyFill="1" applyBorder="1" applyAlignment="1" applyProtection="1">
      <alignment horizontal="center"/>
    </xf>
    <xf numFmtId="0" fontId="27" fillId="11" borderId="0" xfId="0" applyFont="1" applyFill="1" applyAlignment="1" applyProtection="1">
      <alignment horizontal="center"/>
    </xf>
    <xf numFmtId="0" fontId="24" fillId="13" borderId="0" xfId="0" applyFont="1" applyFill="1" applyBorder="1" applyAlignment="1" applyProtection="1">
      <alignment horizontal="center"/>
    </xf>
    <xf numFmtId="0" fontId="24" fillId="13" borderId="4" xfId="0" applyFont="1" applyFill="1" applyBorder="1" applyAlignment="1" applyProtection="1">
      <alignment horizontal="center"/>
    </xf>
    <xf numFmtId="0" fontId="1" fillId="13" borderId="0" xfId="0" applyFont="1" applyFill="1" applyBorder="1" applyAlignment="1" applyProtection="1">
      <alignment horizontal="center"/>
    </xf>
    <xf numFmtId="0" fontId="1" fillId="13" borderId="4" xfId="0" applyFont="1" applyFill="1" applyBorder="1" applyAlignment="1" applyProtection="1">
      <alignment horizontal="center"/>
    </xf>
    <xf numFmtId="0" fontId="30" fillId="13" borderId="0" xfId="1" applyFont="1" applyFill="1" applyBorder="1" applyAlignment="1" applyProtection="1">
      <alignment horizontal="center"/>
    </xf>
    <xf numFmtId="0" fontId="31" fillId="13" borderId="0" xfId="0" applyFont="1" applyFill="1" applyBorder="1" applyAlignment="1" applyProtection="1">
      <alignment horizontal="center"/>
    </xf>
    <xf numFmtId="0" fontId="26" fillId="13" borderId="0" xfId="0" applyFont="1" applyFill="1" applyBorder="1" applyAlignment="1" applyProtection="1">
      <alignment horizontal="left"/>
    </xf>
    <xf numFmtId="0" fontId="50" fillId="2" borderId="5" xfId="0" applyFont="1" applyFill="1" applyBorder="1" applyProtection="1"/>
    <xf numFmtId="0" fontId="51" fillId="2" borderId="0" xfId="0" applyFont="1" applyFill="1" applyBorder="1" applyProtection="1"/>
    <xf numFmtId="0" fontId="52" fillId="2" borderId="0" xfId="0" applyFont="1" applyFill="1" applyBorder="1" applyAlignment="1" applyProtection="1">
      <alignment horizontal="left"/>
    </xf>
    <xf numFmtId="0" fontId="51" fillId="2" borderId="4" xfId="0" applyFont="1" applyFill="1" applyBorder="1" applyProtection="1"/>
    <xf numFmtId="0" fontId="53" fillId="2" borderId="5" xfId="0" applyFont="1" applyFill="1" applyBorder="1" applyProtection="1"/>
    <xf numFmtId="0" fontId="54" fillId="2" borderId="5" xfId="1" applyFont="1" applyFill="1" applyBorder="1" applyAlignment="1" applyProtection="1"/>
    <xf numFmtId="0" fontId="53" fillId="2" borderId="0" xfId="0" applyFont="1" applyFill="1" applyBorder="1" applyProtection="1"/>
    <xf numFmtId="0" fontId="51" fillId="2" borderId="26" xfId="0" applyFont="1" applyFill="1" applyBorder="1" applyProtection="1"/>
    <xf numFmtId="0" fontId="51" fillId="2" borderId="27" xfId="0" applyFont="1" applyFill="1" applyBorder="1" applyProtection="1"/>
    <xf numFmtId="0" fontId="50" fillId="2" borderId="19" xfId="0" applyFont="1" applyFill="1" applyBorder="1" applyProtection="1"/>
    <xf numFmtId="0" fontId="50" fillId="2" borderId="20" xfId="0" applyFont="1" applyFill="1" applyBorder="1" applyProtection="1"/>
    <xf numFmtId="0" fontId="50" fillId="2" borderId="20" xfId="0" applyFont="1" applyFill="1" applyBorder="1" applyAlignment="1" applyProtection="1">
      <alignment horizontal="right"/>
    </xf>
    <xf numFmtId="0" fontId="50" fillId="2" borderId="20" xfId="0" applyFont="1" applyFill="1" applyBorder="1" applyAlignment="1" applyProtection="1">
      <alignment horizontal="center"/>
    </xf>
    <xf numFmtId="0" fontId="50" fillId="2" borderId="20" xfId="0" applyFont="1" applyFill="1" applyBorder="1" applyAlignment="1" applyProtection="1">
      <alignment horizontal="left"/>
    </xf>
    <xf numFmtId="165" fontId="50" fillId="2" borderId="20" xfId="0" applyNumberFormat="1" applyFont="1" applyFill="1" applyBorder="1" applyAlignment="1" applyProtection="1">
      <alignment horizontal="center"/>
    </xf>
    <xf numFmtId="0" fontId="50" fillId="2" borderId="21" xfId="0" applyFont="1" applyFill="1" applyBorder="1" applyAlignment="1" applyProtection="1">
      <alignment horizontal="center"/>
    </xf>
    <xf numFmtId="0" fontId="50" fillId="2" borderId="0" xfId="0" applyFont="1" applyFill="1" applyBorder="1" applyProtection="1"/>
    <xf numFmtId="0" fontId="50" fillId="2" borderId="0" xfId="0" applyFont="1" applyFill="1" applyBorder="1" applyAlignment="1" applyProtection="1">
      <alignment horizontal="right"/>
    </xf>
    <xf numFmtId="0" fontId="54" fillId="2" borderId="0" xfId="1" applyFont="1" applyFill="1" applyBorder="1" applyAlignment="1" applyProtection="1">
      <alignment horizontal="left"/>
    </xf>
    <xf numFmtId="0" fontId="50" fillId="2" borderId="0" xfId="0" applyFont="1" applyFill="1" applyBorder="1" applyAlignment="1" applyProtection="1">
      <alignment horizontal="center"/>
    </xf>
    <xf numFmtId="0" fontId="50" fillId="2" borderId="0" xfId="0" applyFont="1" applyFill="1" applyBorder="1" applyAlignment="1" applyProtection="1">
      <alignment horizontal="left"/>
    </xf>
    <xf numFmtId="165" fontId="50" fillId="2" borderId="0" xfId="0" applyNumberFormat="1" applyFont="1" applyFill="1" applyBorder="1" applyAlignment="1" applyProtection="1">
      <alignment horizontal="center"/>
    </xf>
    <xf numFmtId="0" fontId="50" fillId="2" borderId="4" xfId="0" applyFont="1" applyFill="1" applyBorder="1" applyAlignment="1" applyProtection="1">
      <alignment horizontal="center"/>
    </xf>
    <xf numFmtId="0" fontId="47" fillId="2" borderId="0" xfId="0" applyFont="1" applyFill="1" applyBorder="1" applyAlignment="1" applyProtection="1">
      <alignment vertical="center"/>
    </xf>
    <xf numFmtId="0" fontId="47" fillId="2" borderId="4" xfId="0" applyFont="1" applyFill="1" applyBorder="1" applyAlignment="1" applyProtection="1">
      <alignment vertical="center"/>
    </xf>
    <xf numFmtId="0" fontId="51" fillId="2" borderId="5" xfId="0" applyFont="1" applyFill="1" applyBorder="1" applyProtection="1"/>
    <xf numFmtId="0" fontId="53" fillId="2" borderId="5" xfId="0" applyFont="1" applyFill="1" applyBorder="1" applyAlignment="1" applyProtection="1"/>
    <xf numFmtId="0" fontId="54" fillId="2" borderId="0" xfId="1" applyFont="1" applyFill="1" applyBorder="1" applyAlignment="1" applyProtection="1"/>
    <xf numFmtId="168" fontId="50" fillId="2" borderId="0" xfId="0" applyNumberFormat="1" applyFont="1" applyFill="1" applyBorder="1" applyProtection="1"/>
    <xf numFmtId="0" fontId="51" fillId="2" borderId="0" xfId="0" applyFont="1" applyFill="1" applyProtection="1"/>
    <xf numFmtId="0" fontId="55" fillId="2" borderId="0" xfId="0" applyFont="1" applyFill="1" applyProtection="1"/>
    <xf numFmtId="0" fontId="56" fillId="2" borderId="0" xfId="0" applyFont="1" applyFill="1" applyProtection="1"/>
    <xf numFmtId="0" fontId="50" fillId="2" borderId="25" xfId="0" applyFont="1" applyFill="1" applyBorder="1" applyProtection="1"/>
    <xf numFmtId="0" fontId="50" fillId="2" borderId="26" xfId="0" applyFont="1" applyFill="1" applyBorder="1" applyAlignment="1" applyProtection="1">
      <alignment horizontal="center"/>
    </xf>
    <xf numFmtId="0" fontId="50" fillId="2" borderId="26" xfId="0" applyFont="1" applyFill="1" applyBorder="1" applyProtection="1"/>
    <xf numFmtId="168" fontId="50" fillId="2" borderId="26" xfId="0" applyNumberFormat="1" applyFont="1" applyFill="1" applyBorder="1" applyProtection="1"/>
    <xf numFmtId="0" fontId="57" fillId="2" borderId="26" xfId="0" applyFont="1" applyFill="1" applyBorder="1" applyAlignment="1" applyProtection="1"/>
    <xf numFmtId="0" fontId="57" fillId="2" borderId="27" xfId="0" applyFont="1" applyFill="1" applyBorder="1" applyAlignment="1" applyProtection="1"/>
    <xf numFmtId="0" fontId="50" fillId="2" borderId="0" xfId="0" applyFont="1" applyFill="1" applyProtection="1"/>
    <xf numFmtId="0" fontId="50" fillId="2" borderId="0" xfId="0" applyFont="1" applyFill="1" applyAlignment="1" applyProtection="1">
      <alignment horizontal="center"/>
    </xf>
    <xf numFmtId="168" fontId="50" fillId="2" borderId="0" xfId="0" applyNumberFormat="1" applyFont="1" applyFill="1" applyProtection="1"/>
    <xf numFmtId="0" fontId="50" fillId="2" borderId="0" xfId="0" applyFont="1" applyFill="1" applyBorder="1" applyAlignment="1" applyProtection="1"/>
    <xf numFmtId="164" fontId="50" fillId="2" borderId="0" xfId="0" applyNumberFormat="1" applyFont="1" applyFill="1" applyBorder="1" applyAlignment="1" applyProtection="1">
      <alignment horizontal="center"/>
    </xf>
    <xf numFmtId="0" fontId="50" fillId="2" borderId="0" xfId="0" applyFont="1" applyFill="1" applyAlignment="1" applyProtection="1"/>
    <xf numFmtId="0" fontId="50" fillId="2" borderId="0" xfId="0" applyFont="1" applyFill="1" applyAlignment="1" applyProtection="1">
      <alignment horizontal="center"/>
      <protection locked="0"/>
    </xf>
    <xf numFmtId="172" fontId="58" fillId="2" borderId="0" xfId="0" applyNumberFormat="1" applyFont="1" applyFill="1" applyBorder="1" applyAlignment="1" applyProtection="1">
      <alignment vertical="center"/>
    </xf>
    <xf numFmtId="172" fontId="59" fillId="2" borderId="0" xfId="0" applyNumberFormat="1" applyFont="1" applyFill="1" applyBorder="1" applyAlignment="1" applyProtection="1">
      <alignment horizontal="center" vertical="center"/>
    </xf>
    <xf numFmtId="0" fontId="60" fillId="2" borderId="0" xfId="0" applyFont="1" applyFill="1" applyProtection="1"/>
    <xf numFmtId="0" fontId="61" fillId="2" borderId="0" xfId="1" applyFont="1" applyFill="1" applyBorder="1" applyAlignment="1" applyProtection="1"/>
    <xf numFmtId="0" fontId="61" fillId="2" borderId="0" xfId="1" applyFont="1" applyFill="1" applyAlignment="1" applyProtection="1">
      <alignment horizontal="center" vertical="center"/>
    </xf>
    <xf numFmtId="0" fontId="62" fillId="2" borderId="0" xfId="0" applyFont="1" applyFill="1" applyAlignment="1" applyProtection="1">
      <alignment horizontal="center"/>
    </xf>
    <xf numFmtId="0" fontId="53" fillId="11" borderId="0" xfId="0" applyFont="1" applyFill="1" applyBorder="1" applyAlignment="1" applyProtection="1"/>
    <xf numFmtId="0" fontId="54" fillId="11" borderId="0" xfId="1" applyFont="1" applyFill="1" applyAlignment="1" applyProtection="1">
      <alignment horizontal="left"/>
    </xf>
    <xf numFmtId="0" fontId="51" fillId="11" borderId="0" xfId="0" applyFont="1" applyFill="1" applyProtection="1"/>
    <xf numFmtId="0" fontId="54" fillId="11" borderId="0" xfId="1" applyFont="1" applyFill="1" applyAlignment="1" applyProtection="1"/>
    <xf numFmtId="0" fontId="54" fillId="11" borderId="0" xfId="1" applyFont="1" applyFill="1" applyBorder="1" applyAlignment="1" applyProtection="1"/>
    <xf numFmtId="0" fontId="51" fillId="0" borderId="0" xfId="0" applyFont="1" applyProtection="1"/>
    <xf numFmtId="0" fontId="1" fillId="11" borderId="0" xfId="0" applyFont="1" applyFill="1" applyProtection="1"/>
    <xf numFmtId="0" fontId="50" fillId="11" borderId="0" xfId="0" applyFont="1" applyFill="1" applyProtection="1"/>
    <xf numFmtId="0" fontId="50" fillId="0" borderId="0" xfId="0" applyNumberFormat="1" applyFont="1" applyFill="1" applyBorder="1" applyAlignment="1" applyProtection="1">
      <alignment horizontal="center" vertical="center"/>
    </xf>
    <xf numFmtId="0" fontId="51" fillId="0" borderId="0" xfId="0" applyFont="1" applyFill="1" applyBorder="1" applyAlignment="1" applyProtection="1">
      <alignment horizontal="center" vertical="center"/>
    </xf>
    <xf numFmtId="0" fontId="63" fillId="0" borderId="0" xfId="0" applyFont="1" applyFill="1" applyBorder="1" applyAlignment="1" applyProtection="1">
      <alignment horizontal="center" vertical="center"/>
    </xf>
    <xf numFmtId="0" fontId="58" fillId="0" borderId="0" xfId="0" applyFont="1" applyFill="1" applyBorder="1" applyAlignment="1" applyProtection="1">
      <alignment horizontal="center" vertical="center"/>
    </xf>
    <xf numFmtId="0" fontId="51" fillId="0" borderId="0" xfId="0" applyFont="1" applyAlignment="1">
      <alignment horizontal="center" vertical="center"/>
    </xf>
    <xf numFmtId="0" fontId="51" fillId="0" borderId="0" xfId="0" applyFont="1" applyAlignment="1">
      <alignment vertical="center"/>
    </xf>
    <xf numFmtId="0" fontId="51" fillId="0" borderId="0" xfId="0" applyNumberFormat="1" applyFont="1" applyAlignment="1">
      <alignment horizontal="center" vertical="center"/>
    </xf>
    <xf numFmtId="0" fontId="51" fillId="0" borderId="0" xfId="0" applyNumberFormat="1" applyFont="1" applyFill="1" applyBorder="1" applyAlignment="1" applyProtection="1">
      <alignment horizontal="center" vertical="center"/>
    </xf>
    <xf numFmtId="0" fontId="50" fillId="0" borderId="0" xfId="0" applyFont="1" applyFill="1" applyBorder="1" applyAlignment="1" applyProtection="1">
      <alignment horizontal="center" vertical="center"/>
    </xf>
    <xf numFmtId="0" fontId="50" fillId="0" borderId="0" xfId="0" applyFont="1" applyFill="1" applyBorder="1" applyAlignment="1" applyProtection="1">
      <alignment horizontal="left" vertical="center"/>
    </xf>
    <xf numFmtId="164" fontId="50" fillId="0" borderId="0" xfId="0" applyNumberFormat="1" applyFont="1" applyFill="1" applyBorder="1" applyAlignment="1" applyProtection="1">
      <alignment horizontal="center" vertical="center"/>
    </xf>
    <xf numFmtId="164" fontId="50" fillId="0" borderId="0" xfId="0" applyNumberFormat="1" applyFont="1" applyFill="1" applyBorder="1" applyAlignment="1" applyProtection="1">
      <alignment horizontal="left" vertical="center"/>
    </xf>
    <xf numFmtId="0" fontId="53" fillId="0" borderId="0" xfId="0" applyFont="1" applyFill="1" applyBorder="1" applyAlignment="1" applyProtection="1">
      <alignment horizontal="center" vertical="center"/>
    </xf>
    <xf numFmtId="0" fontId="53" fillId="0" borderId="0" xfId="0" applyFont="1" applyFill="1" applyBorder="1" applyAlignment="1" applyProtection="1">
      <alignment horizontal="left" vertical="center"/>
    </xf>
    <xf numFmtId="167" fontId="51" fillId="0" borderId="0" xfId="0" applyNumberFormat="1" applyFont="1" applyFill="1" applyBorder="1" applyAlignment="1" applyProtection="1">
      <alignment horizontal="center" vertical="center"/>
    </xf>
    <xf numFmtId="167" fontId="51" fillId="0" borderId="0" xfId="0" applyNumberFormat="1" applyFont="1" applyFill="1" applyBorder="1" applyAlignment="1" applyProtection="1">
      <alignment horizontal="right" vertical="center"/>
    </xf>
    <xf numFmtId="0" fontId="51" fillId="0" borderId="28" xfId="0" applyFont="1" applyBorder="1" applyAlignment="1">
      <alignment horizontal="center" vertical="center"/>
    </xf>
    <xf numFmtId="0" fontId="51" fillId="0" borderId="28" xfId="0" applyNumberFormat="1" applyFont="1" applyBorder="1" applyAlignment="1">
      <alignment horizontal="center" vertical="center"/>
    </xf>
    <xf numFmtId="0" fontId="51" fillId="2" borderId="0" xfId="0" applyFont="1" applyFill="1" applyAlignment="1" applyProtection="1">
      <alignment horizontal="center"/>
    </xf>
    <xf numFmtId="0" fontId="54" fillId="2" borderId="0" xfId="1" applyFont="1" applyFill="1" applyAlignment="1" applyProtection="1">
      <alignment horizontal="center" vertical="center"/>
    </xf>
    <xf numFmtId="0" fontId="52" fillId="2" borderId="0" xfId="0" applyFont="1" applyFill="1" applyAlignment="1" applyProtection="1">
      <alignment horizontal="center"/>
    </xf>
    <xf numFmtId="0" fontId="64" fillId="2" borderId="0" xfId="0" applyFont="1" applyFill="1" applyProtection="1"/>
    <xf numFmtId="0" fontId="65" fillId="2" borderId="0" xfId="0" applyFont="1" applyFill="1" applyProtection="1"/>
    <xf numFmtId="164" fontId="51" fillId="2" borderId="0" xfId="0" applyNumberFormat="1" applyFont="1" applyFill="1" applyProtection="1"/>
    <xf numFmtId="10" fontId="51" fillId="2" borderId="0" xfId="2" applyNumberFormat="1" applyFont="1" applyFill="1" applyProtection="1"/>
    <xf numFmtId="0" fontId="50" fillId="2" borderId="0" xfId="0" applyFont="1" applyFill="1" applyAlignment="1" applyProtection="1">
      <alignment horizontal="left"/>
    </xf>
    <xf numFmtId="164" fontId="50" fillId="2" borderId="0" xfId="0" applyNumberFormat="1" applyFont="1" applyFill="1" applyBorder="1" applyAlignment="1" applyProtection="1">
      <alignment horizontal="right"/>
    </xf>
    <xf numFmtId="0" fontId="50" fillId="2" borderId="0" xfId="0" applyFont="1" applyFill="1" applyAlignment="1" applyProtection="1">
      <alignment horizontal="right"/>
    </xf>
    <xf numFmtId="164" fontId="50" fillId="2" borderId="0" xfId="0" applyNumberFormat="1" applyFont="1" applyFill="1" applyBorder="1" applyProtection="1"/>
    <xf numFmtId="0" fontId="66" fillId="11" borderId="19" xfId="1" applyFont="1" applyFill="1" applyBorder="1" applyAlignment="1" applyProtection="1">
      <alignment horizontal="center" vertical="center"/>
    </xf>
    <xf numFmtId="0" fontId="66" fillId="11" borderId="20" xfId="1" applyFont="1" applyFill="1" applyBorder="1" applyAlignment="1" applyProtection="1">
      <alignment horizontal="center" vertical="center"/>
    </xf>
    <xf numFmtId="0" fontId="66" fillId="11" borderId="21" xfId="1" applyFont="1" applyFill="1" applyBorder="1" applyAlignment="1" applyProtection="1">
      <alignment horizontal="center" vertical="center"/>
    </xf>
    <xf numFmtId="0" fontId="66" fillId="11" borderId="5" xfId="1" applyFont="1" applyFill="1" applyBorder="1" applyAlignment="1" applyProtection="1">
      <alignment horizontal="center" vertical="center"/>
    </xf>
    <xf numFmtId="0" fontId="66" fillId="11" borderId="0" xfId="1" applyFont="1" applyFill="1" applyBorder="1" applyAlignment="1" applyProtection="1">
      <alignment horizontal="center" vertical="center"/>
    </xf>
    <xf numFmtId="0" fontId="66" fillId="11" borderId="4" xfId="1" applyFont="1" applyFill="1" applyBorder="1" applyAlignment="1" applyProtection="1">
      <alignment horizontal="center" vertical="center"/>
    </xf>
    <xf numFmtId="0" fontId="66" fillId="11" borderId="25" xfId="1" applyFont="1" applyFill="1" applyBorder="1" applyAlignment="1" applyProtection="1">
      <alignment horizontal="center" vertical="center"/>
    </xf>
    <xf numFmtId="0" fontId="66" fillId="11" borderId="26" xfId="1" applyFont="1" applyFill="1" applyBorder="1" applyAlignment="1" applyProtection="1">
      <alignment horizontal="center" vertical="center"/>
    </xf>
    <xf numFmtId="0" fontId="66" fillId="11" borderId="27" xfId="1" applyFont="1" applyFill="1" applyBorder="1" applyAlignment="1" applyProtection="1">
      <alignment horizontal="center" vertical="center"/>
    </xf>
    <xf numFmtId="0" fontId="49" fillId="11" borderId="0" xfId="0" applyFont="1" applyFill="1" applyProtection="1"/>
    <xf numFmtId="0" fontId="51" fillId="2" borderId="0" xfId="0" applyFont="1" applyFill="1" applyAlignment="1" applyProtection="1">
      <alignment horizontal="center"/>
    </xf>
    <xf numFmtId="0" fontId="51" fillId="2" borderId="0" xfId="0" applyFont="1" applyFill="1" applyAlignment="1" applyProtection="1"/>
    <xf numFmtId="0" fontId="50" fillId="11" borderId="0" xfId="0" applyFont="1" applyFill="1" applyAlignment="1" applyProtection="1">
      <alignment horizontal="center"/>
    </xf>
  </cellXfs>
  <cellStyles count="4">
    <cellStyle name="1000-sep (2 dec)" xfId="3" builtinId="3"/>
    <cellStyle name="Hyperlink" xfId="1" builtinId="8"/>
    <cellStyle name="Normal" xfId="0" builtinId="0"/>
    <cellStyle name="Procent" xfId="2" builtinId="5"/>
  </cellStyles>
  <dxfs count="0"/>
  <tableStyles count="0" defaultTableStyle="TableStyleMedium9" defaultPivotStyle="PivotStyleLight16"/>
  <colors>
    <mruColors>
      <color rgb="FFF2F2F2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a-DK"/>
  <c:chart>
    <c:title>
      <c:tx>
        <c:strRef>
          <c:f>Data!$B$29</c:f>
          <c:strCache>
            <c:ptCount val="1"/>
            <c:pt idx="0">
              <c:v>Sugar solubility in water as a function of temperature</c:v>
            </c:pt>
          </c:strCache>
        </c:strRef>
      </c:tx>
      <c:layout/>
      <c:txPr>
        <a:bodyPr/>
        <a:lstStyle/>
        <a:p>
          <a:pPr>
            <a:defRPr baseline="0">
              <a:latin typeface="Arial" pitchFamily="34" charset="0"/>
              <a:cs typeface="Arial" pitchFamily="34" charset="0"/>
            </a:defRPr>
          </a:pPr>
          <a:endParaRPr lang="da-DK"/>
        </a:p>
      </c:txPr>
    </c:title>
    <c:plotArea>
      <c:layout>
        <c:manualLayout>
          <c:layoutTarget val="inner"/>
          <c:xMode val="edge"/>
          <c:yMode val="edge"/>
          <c:x val="7.9978905719033391E-2"/>
          <c:y val="0.10006251293277139"/>
          <c:w val="0.78148521588214126"/>
          <c:h val="0.67535617798508363"/>
        </c:manualLayout>
      </c:layout>
      <c:lineChart>
        <c:grouping val="standard"/>
        <c:ser>
          <c:idx val="0"/>
          <c:order val="0"/>
          <c:tx>
            <c:strRef>
              <c:f>Data!$C$30</c:f>
              <c:strCache>
                <c:ptCount val="1"/>
                <c:pt idx="0">
                  <c:v>gr sugar/100 ml water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dLbls>
            <c:txPr>
              <a:bodyPr/>
              <a:lstStyle/>
              <a:p>
                <a:pPr>
                  <a:defRPr sz="1200" baseline="0">
                    <a:latin typeface="Arial" pitchFamily="34" charset="0"/>
                    <a:cs typeface="Arial" pitchFamily="34" charset="0"/>
                  </a:defRPr>
                </a:pPr>
                <a:endParaRPr lang="da-DK"/>
              </a:p>
            </c:txPr>
            <c:showVal val="1"/>
          </c:dLbls>
          <c:cat>
            <c:numRef>
              <c:f>Data!$B$31:$B$39</c:f>
              <c:numCache>
                <c:formatCode>General</c:formatCode>
                <c:ptCount val="9"/>
                <c:pt idx="0">
                  <c:v>50</c:v>
                </c:pt>
                <c:pt idx="1">
                  <c:v>55</c:v>
                </c:pt>
                <c:pt idx="2">
                  <c:v>60</c:v>
                </c:pt>
                <c:pt idx="3">
                  <c:v>65</c:v>
                </c:pt>
                <c:pt idx="4">
                  <c:v>70</c:v>
                </c:pt>
                <c:pt idx="5">
                  <c:v>75</c:v>
                </c:pt>
                <c:pt idx="6">
                  <c:v>80</c:v>
                </c:pt>
                <c:pt idx="7">
                  <c:v>85</c:v>
                </c:pt>
                <c:pt idx="8">
                  <c:v>90</c:v>
                </c:pt>
              </c:numCache>
            </c:numRef>
          </c:cat>
          <c:val>
            <c:numRef>
              <c:f>Data!$C$31:$C$39</c:f>
              <c:numCache>
                <c:formatCode>0</c:formatCode>
                <c:ptCount val="9"/>
                <c:pt idx="0">
                  <c:v>259</c:v>
                </c:pt>
                <c:pt idx="1">
                  <c:v>273</c:v>
                </c:pt>
                <c:pt idx="2">
                  <c:v>289</c:v>
                </c:pt>
                <c:pt idx="3">
                  <c:v>306</c:v>
                </c:pt>
                <c:pt idx="4">
                  <c:v>325</c:v>
                </c:pt>
                <c:pt idx="5">
                  <c:v>346</c:v>
                </c:pt>
                <c:pt idx="6">
                  <c:v>369</c:v>
                </c:pt>
                <c:pt idx="7">
                  <c:v>394</c:v>
                </c:pt>
                <c:pt idx="8">
                  <c:v>420</c:v>
                </c:pt>
              </c:numCache>
            </c:numRef>
          </c:val>
        </c:ser>
        <c:marker val="1"/>
        <c:axId val="132604672"/>
        <c:axId val="132606592"/>
      </c:lineChart>
      <c:catAx>
        <c:axId val="132604672"/>
        <c:scaling>
          <c:orientation val="minMax"/>
        </c:scaling>
        <c:axPos val="b"/>
        <c:majorGridlines/>
        <c:title>
          <c:tx>
            <c:strRef>
              <c:f>Data!$B$30</c:f>
              <c:strCache>
                <c:ptCount val="1"/>
                <c:pt idx="0">
                  <c:v>Temperature °C</c:v>
                </c:pt>
              </c:strCache>
            </c:strRef>
          </c:tx>
          <c:layout>
            <c:manualLayout>
              <c:xMode val="edge"/>
              <c:yMode val="edge"/>
              <c:x val="0.41548262301095612"/>
              <c:y val="0.89491703710446613"/>
            </c:manualLayout>
          </c:layout>
          <c:txPr>
            <a:bodyPr/>
            <a:lstStyle/>
            <a:p>
              <a:pPr>
                <a:defRPr sz="1800" baseline="0">
                  <a:latin typeface="Arial" pitchFamily="34" charset="0"/>
                  <a:cs typeface="Arial" pitchFamily="34" charset="0"/>
                </a:defRPr>
              </a:pPr>
              <a:endParaRPr lang="da-DK"/>
            </a:p>
          </c:txPr>
        </c:title>
        <c:numFmt formatCode="General" sourceLinked="1"/>
        <c:minorTickMark val="in"/>
        <c:tickLblPos val="nextTo"/>
        <c:txPr>
          <a:bodyPr/>
          <a:lstStyle/>
          <a:p>
            <a:pPr>
              <a:defRPr sz="1200" baseline="0">
                <a:latin typeface="Arial" pitchFamily="34" charset="0"/>
                <a:cs typeface="Arial" pitchFamily="34" charset="0"/>
              </a:defRPr>
            </a:pPr>
            <a:endParaRPr lang="da-DK"/>
          </a:p>
        </c:txPr>
        <c:crossAx val="132606592"/>
        <c:crosses val="autoZero"/>
        <c:auto val="1"/>
        <c:lblAlgn val="ctr"/>
        <c:lblOffset val="100"/>
        <c:tickLblSkip val="1"/>
      </c:catAx>
      <c:valAx>
        <c:axId val="132606592"/>
        <c:scaling>
          <c:orientation val="minMax"/>
        </c:scaling>
        <c:axPos val="l"/>
        <c:majorGridlines/>
        <c:title>
          <c:tx>
            <c:strRef>
              <c:f>Data!$C$30</c:f>
              <c:strCache>
                <c:ptCount val="1"/>
                <c:pt idx="0">
                  <c:v>gr sugar/100 ml water</c:v>
                </c:pt>
              </c:strCache>
            </c:strRef>
          </c:tx>
          <c:layout>
            <c:manualLayout>
              <c:xMode val="edge"/>
              <c:yMode val="edge"/>
              <c:x val="1.3484360104294799E-2"/>
              <c:y val="0.27086159027809387"/>
            </c:manualLayout>
          </c:layout>
          <c:txPr>
            <a:bodyPr/>
            <a:lstStyle/>
            <a:p>
              <a:pPr>
                <a:defRPr sz="1800" baseline="0">
                  <a:latin typeface="Arial" pitchFamily="34" charset="0"/>
                  <a:cs typeface="Arial" pitchFamily="34" charset="0"/>
                </a:defRPr>
              </a:pPr>
              <a:endParaRPr lang="da-DK"/>
            </a:p>
          </c:txPr>
        </c:title>
        <c:numFmt formatCode="0" sourceLinked="0"/>
        <c:minorTickMark val="in"/>
        <c:tickLblPos val="nextTo"/>
        <c:txPr>
          <a:bodyPr/>
          <a:lstStyle/>
          <a:p>
            <a:pPr>
              <a:defRPr sz="1200" baseline="0">
                <a:latin typeface="Arial" pitchFamily="34" charset="0"/>
                <a:cs typeface="Arial" pitchFamily="34" charset="0"/>
              </a:defRPr>
            </a:pPr>
            <a:endParaRPr lang="da-DK"/>
          </a:p>
        </c:txPr>
        <c:crossAx val="132604672"/>
        <c:crosses val="autoZero"/>
        <c:crossBetween val="midCat"/>
      </c:valAx>
      <c:spPr>
        <a:solidFill>
          <a:schemeClr val="accent3">
            <a:lumMod val="40000"/>
            <a:lumOff val="60000"/>
          </a:schemeClr>
        </a:solidFill>
      </c:spPr>
    </c:plotArea>
    <c:legend>
      <c:legendPos val="r"/>
      <c:layout>
        <c:manualLayout>
          <c:xMode val="edge"/>
          <c:yMode val="edge"/>
          <c:x val="0.86351146149394742"/>
          <c:y val="0.33451193082192532"/>
          <c:w val="0.13209318285161084"/>
          <c:h val="0.21740342623147349"/>
        </c:manualLayout>
      </c:layout>
      <c:spPr>
        <a:ln>
          <a:noFill/>
        </a:ln>
      </c:spPr>
      <c:txPr>
        <a:bodyPr/>
        <a:lstStyle/>
        <a:p>
          <a:pPr>
            <a:defRPr sz="1200">
              <a:latin typeface="Arial" pitchFamily="34" charset="0"/>
              <a:cs typeface="Arial" pitchFamily="34" charset="0"/>
            </a:defRPr>
          </a:pPr>
          <a:endParaRPr lang="da-DK"/>
        </a:p>
      </c:txPr>
    </c:legend>
    <c:plotVisOnly val="1"/>
    <c:dispBlanksAs val="gap"/>
  </c:chart>
  <c:spPr>
    <a:solidFill>
      <a:schemeClr val="bg1">
        <a:lumMod val="95000"/>
      </a:schemeClr>
    </a:solidFill>
  </c:spPr>
  <c:printSettings>
    <c:headerFooter/>
    <c:pageMargins b="0.75000000000001255" l="0.70000000000000062" r="0.70000000000000062" t="0.75000000000001255" header="0.31496062992127238" footer="0.31496062992127238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a-DK"/>
  <c:chart>
    <c:title>
      <c:tx>
        <c:strRef>
          <c:f>'Most Skema'!$E$158</c:f>
          <c:strCache>
            <c:ptCount val="1"/>
            <c:pt idx="0">
              <c:v>Dissolved solids [gram sucrose] as a function of Oechsle degrees in a grape must</c:v>
            </c:pt>
          </c:strCache>
        </c:strRef>
      </c:tx>
      <c:layout/>
      <c:txPr>
        <a:bodyPr/>
        <a:lstStyle/>
        <a:p>
          <a:pPr>
            <a:defRPr baseline="0">
              <a:latin typeface="Arial" pitchFamily="34" charset="0"/>
              <a:cs typeface="Arial" pitchFamily="34" charset="0"/>
            </a:defRPr>
          </a:pPr>
          <a:endParaRPr lang="da-DK"/>
        </a:p>
      </c:txPr>
    </c:title>
    <c:plotArea>
      <c:layout>
        <c:manualLayout>
          <c:layoutTarget val="inner"/>
          <c:xMode val="edge"/>
          <c:yMode val="edge"/>
          <c:x val="7.9978905719033391E-2"/>
          <c:y val="0.10006251293277139"/>
          <c:w val="0.78148521588214126"/>
          <c:h val="0.67535617798508363"/>
        </c:manualLayout>
      </c:layout>
      <c:lineChart>
        <c:grouping val="standard"/>
        <c:ser>
          <c:idx val="0"/>
          <c:order val="0"/>
          <c:tx>
            <c:strRef>
              <c:f>'Most Skema'!$N$3:$N$4</c:f>
              <c:strCache>
                <c:ptCount val="1"/>
                <c:pt idx="0">
                  <c:v>Dissolved sugar g / liter must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'Most Skema'!$E$5:$E$155</c:f>
              <c:numCache>
                <c:formatCode>General</c:formatCode>
                <c:ptCount val="15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</c:numCache>
            </c:numRef>
          </c:cat>
          <c:val>
            <c:numRef>
              <c:f>'Most Skema'!$N$5:$N$155</c:f>
              <c:numCache>
                <c:formatCode>0.00</c:formatCode>
                <c:ptCount val="151"/>
                <c:pt idx="0">
                  <c:v>0</c:v>
                </c:pt>
                <c:pt idx="1">
                  <c:v>2.5826624348937806</c:v>
                </c:pt>
                <c:pt idx="2">
                  <c:v>5.166106730602614</c:v>
                </c:pt>
                <c:pt idx="3">
                  <c:v>7.7503283994567305</c:v>
                </c:pt>
                <c:pt idx="4">
                  <c:v>10.335322988170741</c:v>
                </c:pt>
                <c:pt idx="5">
                  <c:v>12.921086077839082</c:v>
                </c:pt>
                <c:pt idx="6">
                  <c:v>15.507613283933727</c:v>
                </c:pt>
                <c:pt idx="7">
                  <c:v>18.094900256309877</c:v>
                </c:pt>
                <c:pt idx="8">
                  <c:v>20.682942679206008</c:v>
                </c:pt>
                <c:pt idx="9">
                  <c:v>23.271736271233507</c:v>
                </c:pt>
                <c:pt idx="10">
                  <c:v>25.861276785399649</c:v>
                </c:pt>
                <c:pt idx="11">
                  <c:v>28.451560009078896</c:v>
                </c:pt>
                <c:pt idx="12">
                  <c:v>31.04258176402897</c:v>
                </c:pt>
                <c:pt idx="13">
                  <c:v>33.634337906394272</c:v>
                </c:pt>
                <c:pt idx="14">
                  <c:v>36.226824326696764</c:v>
                </c:pt>
                <c:pt idx="15">
                  <c:v>38.820036949839313</c:v>
                </c:pt>
                <c:pt idx="16">
                  <c:v>41.413971735101178</c:v>
                </c:pt>
                <c:pt idx="17">
                  <c:v>44.008624676154078</c:v>
                </c:pt>
                <c:pt idx="18">
                  <c:v>46.603991801040337</c:v>
                </c:pt>
                <c:pt idx="19">
                  <c:v>49.200069172185508</c:v>
                </c:pt>
                <c:pt idx="20">
                  <c:v>51.796852886400778</c:v>
                </c:pt>
                <c:pt idx="21">
                  <c:v>54.394339074873628</c:v>
                </c:pt>
                <c:pt idx="22">
                  <c:v>56.992523903172525</c:v>
                </c:pt>
                <c:pt idx="23">
                  <c:v>59.591403571248016</c:v>
                </c:pt>
                <c:pt idx="24">
                  <c:v>62.190974313432818</c:v>
                </c:pt>
                <c:pt idx="25">
                  <c:v>64.791232398439405</c:v>
                </c:pt>
                <c:pt idx="26">
                  <c:v>67.392174129362402</c:v>
                </c:pt>
                <c:pt idx="27">
                  <c:v>69.993795843670384</c:v>
                </c:pt>
                <c:pt idx="28">
                  <c:v>72.596093913226909</c:v>
                </c:pt>
                <c:pt idx="29">
                  <c:v>75.199064744262429</c:v>
                </c:pt>
                <c:pt idx="30">
                  <c:v>77.802704777400137</c:v>
                </c:pt>
                <c:pt idx="31">
                  <c:v>80.407010487633542</c:v>
                </c:pt>
                <c:pt idx="32">
                  <c:v>83.01197838434426</c:v>
                </c:pt>
                <c:pt idx="33">
                  <c:v>85.617605011290067</c:v>
                </c:pt>
                <c:pt idx="34">
                  <c:v>88.223886946614471</c:v>
                </c:pt>
                <c:pt idx="35">
                  <c:v>90.830820802838375</c:v>
                </c:pt>
                <c:pt idx="36">
                  <c:v>93.438403226866015</c:v>
                </c:pt>
                <c:pt idx="37">
                  <c:v>96.046630899980201</c:v>
                </c:pt>
                <c:pt idx="38">
                  <c:v>98.655500537847132</c:v>
                </c:pt>
                <c:pt idx="39">
                  <c:v>101.2650088905115</c:v>
                </c:pt>
                <c:pt idx="40">
                  <c:v>103.87515274240141</c:v>
                </c:pt>
                <c:pt idx="41">
                  <c:v>106.48592891232352</c:v>
                </c:pt>
                <c:pt idx="42">
                  <c:v>109.09733425347019</c:v>
                </c:pt>
                <c:pt idx="43">
                  <c:v>111.70936565340645</c:v>
                </c:pt>
                <c:pt idx="44">
                  <c:v>114.32202003408662</c:v>
                </c:pt>
                <c:pt idx="45">
                  <c:v>116.9352943518376</c:v>
                </c:pt>
                <c:pt idx="46">
                  <c:v>119.549185597378</c:v>
                </c:pt>
                <c:pt idx="47">
                  <c:v>122.16369079580022</c:v>
                </c:pt>
                <c:pt idx="48">
                  <c:v>124.77880700657768</c:v>
                </c:pt>
                <c:pt idx="49">
                  <c:v>127.39453132356466</c:v>
                </c:pt>
                <c:pt idx="50">
                  <c:v>130.01086087500011</c:v>
                </c:pt>
                <c:pt idx="51">
                  <c:v>132.62779282350022</c:v>
                </c:pt>
                <c:pt idx="52">
                  <c:v>135.24532436606464</c:v>
                </c:pt>
                <c:pt idx="53">
                  <c:v>137.86345273407269</c:v>
                </c:pt>
                <c:pt idx="54">
                  <c:v>140.48217519328358</c:v>
                </c:pt>
                <c:pt idx="55">
                  <c:v>143.10148904383851</c:v>
                </c:pt>
                <c:pt idx="56">
                  <c:v>145.72139162026218</c:v>
                </c:pt>
                <c:pt idx="57">
                  <c:v>148.3418802914542</c:v>
                </c:pt>
                <c:pt idx="58">
                  <c:v>150.96295246070113</c:v>
                </c:pt>
                <c:pt idx="59">
                  <c:v>153.58460556566808</c:v>
                </c:pt>
                <c:pt idx="60">
                  <c:v>156.20683707840121</c:v>
                </c:pt>
                <c:pt idx="61">
                  <c:v>158.82964450532504</c:v>
                </c:pt>
                <c:pt idx="62">
                  <c:v>161.45302538725252</c:v>
                </c:pt>
                <c:pt idx="63">
                  <c:v>164.07697729937132</c:v>
                </c:pt>
                <c:pt idx="64">
                  <c:v>166.70149785124906</c:v>
                </c:pt>
                <c:pt idx="65">
                  <c:v>169.32658468683772</c:v>
                </c:pt>
                <c:pt idx="66">
                  <c:v>171.95223548446924</c:v>
                </c:pt>
                <c:pt idx="67">
                  <c:v>174.57844795685756</c:v>
                </c:pt>
                <c:pt idx="68">
                  <c:v>177.20521985109653</c:v>
                </c:pt>
                <c:pt idx="69">
                  <c:v>179.8325489486584</c:v>
                </c:pt>
                <c:pt idx="70">
                  <c:v>182.4604330654013</c:v>
                </c:pt>
                <c:pt idx="71">
                  <c:v>185.08887005155944</c:v>
                </c:pt>
                <c:pt idx="72">
                  <c:v>187.71785779175534</c:v>
                </c:pt>
                <c:pt idx="73">
                  <c:v>190.34739420498261</c:v>
                </c:pt>
                <c:pt idx="74">
                  <c:v>192.97747724462454</c:v>
                </c:pt>
                <c:pt idx="75">
                  <c:v>195.6081048984403</c:v>
                </c:pt>
                <c:pt idx="76">
                  <c:v>198.23927518856897</c:v>
                </c:pt>
                <c:pt idx="77">
                  <c:v>200.87098617153535</c:v>
                </c:pt>
                <c:pt idx="78">
                  <c:v>203.5032359382453</c:v>
                </c:pt>
                <c:pt idx="79">
                  <c:v>206.13602261397574</c:v>
                </c:pt>
                <c:pt idx="80">
                  <c:v>208.76934435840064</c:v>
                </c:pt>
                <c:pt idx="81">
                  <c:v>211.40319936555997</c:v>
                </c:pt>
                <c:pt idx="82">
                  <c:v>214.03758586388847</c:v>
                </c:pt>
                <c:pt idx="83">
                  <c:v>216.67250211618676</c:v>
                </c:pt>
                <c:pt idx="84">
                  <c:v>219.30794641964658</c:v>
                </c:pt>
                <c:pt idx="85">
                  <c:v>221.94391710583793</c:v>
                </c:pt>
                <c:pt idx="86">
                  <c:v>224.58041254071316</c:v>
                </c:pt>
                <c:pt idx="87">
                  <c:v>227.21743112460538</c:v>
                </c:pt>
                <c:pt idx="88">
                  <c:v>229.85497129222279</c:v>
                </c:pt>
                <c:pt idx="89">
                  <c:v>232.49303151266287</c:v>
                </c:pt>
                <c:pt idx="90">
                  <c:v>235.13161028940186</c:v>
                </c:pt>
                <c:pt idx="91">
                  <c:v>237.77070616029181</c:v>
                </c:pt>
                <c:pt idx="92">
                  <c:v>240.41031769757456</c:v>
                </c:pt>
                <c:pt idx="93">
                  <c:v>243.05044350786281</c:v>
                </c:pt>
                <c:pt idx="94">
                  <c:v>245.69108223215667</c:v>
                </c:pt>
                <c:pt idx="95">
                  <c:v>248.33223254583942</c:v>
                </c:pt>
                <c:pt idx="96">
                  <c:v>250.97389315866809</c:v>
                </c:pt>
                <c:pt idx="97">
                  <c:v>253.61606281478416</c:v>
                </c:pt>
                <c:pt idx="98">
                  <c:v>256.25874029271284</c:v>
                </c:pt>
                <c:pt idx="99">
                  <c:v>258.90192440535748</c:v>
                </c:pt>
                <c:pt idx="100">
                  <c:v>261.54561400000023</c:v>
                </c:pt>
                <c:pt idx="101">
                  <c:v>264.18980795830896</c:v>
                </c:pt>
                <c:pt idx="102">
                  <c:v>266.8345051963301</c:v>
                </c:pt>
                <c:pt idx="103">
                  <c:v>269.47970466448845</c:v>
                </c:pt>
                <c:pt idx="104">
                  <c:v>272.12540534759626</c:v>
                </c:pt>
                <c:pt idx="105">
                  <c:v>274.77160626483754</c:v>
                </c:pt>
                <c:pt idx="106">
                  <c:v>277.41830646978906</c:v>
                </c:pt>
                <c:pt idx="107">
                  <c:v>280.06550505039684</c:v>
                </c:pt>
                <c:pt idx="108">
                  <c:v>282.71320112899696</c:v>
                </c:pt>
                <c:pt idx="109">
                  <c:v>285.3613938623011</c:v>
                </c:pt>
                <c:pt idx="110">
                  <c:v>288.01008244140229</c:v>
                </c:pt>
                <c:pt idx="111">
                  <c:v>290.65926609177535</c:v>
                </c:pt>
                <c:pt idx="112">
                  <c:v>293.30894407327906</c:v>
                </c:pt>
                <c:pt idx="113">
                  <c:v>295.95911568014895</c:v>
                </c:pt>
                <c:pt idx="114">
                  <c:v>298.60978024100302</c:v>
                </c:pt>
                <c:pt idx="115">
                  <c:v>301.26093711883755</c:v>
                </c:pt>
                <c:pt idx="116">
                  <c:v>303.91258571103629</c:v>
                </c:pt>
                <c:pt idx="117">
                  <c:v>306.56472544936116</c:v>
                </c:pt>
                <c:pt idx="118">
                  <c:v>309.21735579995158</c:v>
                </c:pt>
                <c:pt idx="119">
                  <c:v>311.87047626332884</c:v>
                </c:pt>
                <c:pt idx="120">
                  <c:v>314.52408637440061</c:v>
                </c:pt>
                <c:pt idx="121">
                  <c:v>317.17818570244879</c:v>
                </c:pt>
                <c:pt idx="122">
                  <c:v>319.83277385113917</c:v>
                </c:pt>
                <c:pt idx="123">
                  <c:v>322.4878504585194</c:v>
                </c:pt>
                <c:pt idx="124">
                  <c:v>325.14341519701594</c:v>
                </c:pt>
                <c:pt idx="125">
                  <c:v>327.79946777343969</c:v>
                </c:pt>
                <c:pt idx="126">
                  <c:v>330.45600792897619</c:v>
                </c:pt>
                <c:pt idx="127">
                  <c:v>333.11303543919996</c:v>
                </c:pt>
                <c:pt idx="128">
                  <c:v>335.77055011405952</c:v>
                </c:pt>
                <c:pt idx="129">
                  <c:v>338.4285517978899</c:v>
                </c:pt>
                <c:pt idx="130">
                  <c:v>341.08704036940304</c:v>
                </c:pt>
                <c:pt idx="131">
                  <c:v>343.74601574169196</c:v>
                </c:pt>
                <c:pt idx="132">
                  <c:v>346.40547786223055</c:v>
                </c:pt>
                <c:pt idx="133">
                  <c:v>349.06542671288139</c:v>
                </c:pt>
                <c:pt idx="134">
                  <c:v>351.72586230987775</c:v>
                </c:pt>
                <c:pt idx="135">
                  <c:v>354.38678470383775</c:v>
                </c:pt>
                <c:pt idx="136">
                  <c:v>357.04819397976036</c:v>
                </c:pt>
                <c:pt idx="137">
                  <c:v>359.71009025702824</c:v>
                </c:pt>
                <c:pt idx="138">
                  <c:v>362.37247368939842</c:v>
                </c:pt>
                <c:pt idx="139">
                  <c:v>365.0353444650155</c:v>
                </c:pt>
                <c:pt idx="140">
                  <c:v>367.69870280639964</c:v>
                </c:pt>
                <c:pt idx="141">
                  <c:v>370.36254897046001</c:v>
                </c:pt>
                <c:pt idx="142">
                  <c:v>373.02688324847742</c:v>
                </c:pt>
                <c:pt idx="143">
                  <c:v>375.691705966119</c:v>
                </c:pt>
                <c:pt idx="144">
                  <c:v>378.35701748343007</c:v>
                </c:pt>
                <c:pt idx="145">
                  <c:v>381.02281819483846</c:v>
                </c:pt>
                <c:pt idx="146">
                  <c:v>383.68910852915656</c:v>
                </c:pt>
                <c:pt idx="147">
                  <c:v>386.35588894957021</c:v>
                </c:pt>
                <c:pt idx="148">
                  <c:v>389.02315995365115</c:v>
                </c:pt>
                <c:pt idx="149">
                  <c:v>391.69092207335109</c:v>
                </c:pt>
                <c:pt idx="150">
                  <c:v>394.35917587499961</c:v>
                </c:pt>
              </c:numCache>
            </c:numRef>
          </c:val>
        </c:ser>
        <c:marker val="1"/>
        <c:axId val="132631168"/>
        <c:axId val="132383488"/>
      </c:lineChart>
      <c:catAx>
        <c:axId val="132631168"/>
        <c:scaling>
          <c:orientation val="minMax"/>
        </c:scaling>
        <c:axPos val="b"/>
        <c:majorGridlines/>
        <c:title>
          <c:tx>
            <c:strRef>
              <c:f>'Most Skema'!$E$3</c:f>
              <c:strCache>
                <c:ptCount val="1"/>
                <c:pt idx="0">
                  <c:v>°Oechsle</c:v>
                </c:pt>
              </c:strCache>
            </c:strRef>
          </c:tx>
          <c:layout>
            <c:manualLayout>
              <c:xMode val="edge"/>
              <c:yMode val="edge"/>
              <c:x val="0.44595388854049961"/>
              <c:y val="0.89024095008108761"/>
            </c:manualLayout>
          </c:layout>
          <c:txPr>
            <a:bodyPr/>
            <a:lstStyle/>
            <a:p>
              <a:pPr>
                <a:defRPr sz="1800" baseline="0">
                  <a:latin typeface="Arial" pitchFamily="34" charset="0"/>
                  <a:cs typeface="Arial" pitchFamily="34" charset="0"/>
                </a:defRPr>
              </a:pPr>
              <a:endParaRPr lang="da-DK"/>
            </a:p>
          </c:txPr>
        </c:title>
        <c:numFmt formatCode="General" sourceLinked="1"/>
        <c:minorTickMark val="in"/>
        <c:tickLblPos val="nextTo"/>
        <c:txPr>
          <a:bodyPr/>
          <a:lstStyle/>
          <a:p>
            <a:pPr>
              <a:defRPr sz="1200" baseline="0"/>
            </a:pPr>
            <a:endParaRPr lang="da-DK"/>
          </a:p>
        </c:txPr>
        <c:crossAx val="132383488"/>
        <c:crosses val="autoZero"/>
        <c:auto val="1"/>
        <c:lblAlgn val="ctr"/>
        <c:lblOffset val="100"/>
        <c:tickLblSkip val="1"/>
      </c:catAx>
      <c:valAx>
        <c:axId val="132383488"/>
        <c:scaling>
          <c:orientation val="minMax"/>
        </c:scaling>
        <c:axPos val="l"/>
        <c:majorGridlines/>
        <c:minorGridlines/>
        <c:title>
          <c:tx>
            <c:strRef>
              <c:f>'Most Skema'!$N$4</c:f>
              <c:strCache>
                <c:ptCount val="1"/>
                <c:pt idx="0">
                  <c:v>g / liter must</c:v>
                </c:pt>
              </c:strCache>
            </c:strRef>
          </c:tx>
          <c:layout>
            <c:manualLayout>
              <c:xMode val="edge"/>
              <c:yMode val="edge"/>
              <c:x val="1.3484360104294799E-2"/>
              <c:y val="0.27086159027809387"/>
            </c:manualLayout>
          </c:layout>
          <c:txPr>
            <a:bodyPr/>
            <a:lstStyle/>
            <a:p>
              <a:pPr>
                <a:defRPr sz="1800" baseline="0">
                  <a:latin typeface="Arial" pitchFamily="34" charset="0"/>
                  <a:cs typeface="Arial" pitchFamily="34" charset="0"/>
                </a:defRPr>
              </a:pPr>
              <a:endParaRPr lang="da-DK"/>
            </a:p>
          </c:txPr>
        </c:title>
        <c:numFmt formatCode="0" sourceLinked="0"/>
        <c:minorTickMark val="in"/>
        <c:tickLblPos val="nextTo"/>
        <c:txPr>
          <a:bodyPr/>
          <a:lstStyle/>
          <a:p>
            <a:pPr>
              <a:defRPr sz="1200" baseline="0"/>
            </a:pPr>
            <a:endParaRPr lang="da-DK"/>
          </a:p>
        </c:txPr>
        <c:crossAx val="132631168"/>
        <c:crosses val="autoZero"/>
        <c:crossBetween val="midCat"/>
      </c:valAx>
      <c:spPr>
        <a:solidFill>
          <a:schemeClr val="accent3">
            <a:lumMod val="40000"/>
            <a:lumOff val="60000"/>
          </a:schemeClr>
        </a:solidFill>
      </c:spPr>
    </c:plotArea>
    <c:legend>
      <c:legendPos val="r"/>
      <c:layout>
        <c:manualLayout>
          <c:xMode val="edge"/>
          <c:yMode val="edge"/>
          <c:x val="0.86960591184615865"/>
          <c:y val="0.18721250269248332"/>
          <c:w val="0.13039408815384221"/>
          <c:h val="0.5046240742002176"/>
        </c:manualLayout>
      </c:layout>
      <c:spPr>
        <a:ln>
          <a:noFill/>
        </a:ln>
      </c:spPr>
      <c:txPr>
        <a:bodyPr/>
        <a:lstStyle/>
        <a:p>
          <a:pPr>
            <a:defRPr sz="1200">
              <a:latin typeface="Arial" pitchFamily="34" charset="0"/>
              <a:cs typeface="Arial" pitchFamily="34" charset="0"/>
            </a:defRPr>
          </a:pPr>
          <a:endParaRPr lang="da-DK"/>
        </a:p>
      </c:txPr>
    </c:legend>
    <c:plotVisOnly val="1"/>
    <c:dispBlanksAs val="span"/>
  </c:chart>
  <c:spPr>
    <a:solidFill>
      <a:schemeClr val="bg1">
        <a:lumMod val="95000"/>
      </a:schemeClr>
    </a:solidFill>
  </c:spPr>
  <c:printSettings>
    <c:headerFooter/>
    <c:pageMargins b="0.75000000000001277" l="0.70000000000000062" r="0.70000000000000062" t="0.75000000000001277" header="0.31496062992127255" footer="0.31496062992127255"/>
    <c:pageSetup orientation="landscape"/>
  </c:printSettings>
</c:chartSpace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320040</xdr:colOff>
      <xdr:row>17</xdr:row>
      <xdr:rowOff>53340</xdr:rowOff>
    </xdr:from>
    <xdr:to>
      <xdr:col>11</xdr:col>
      <xdr:colOff>922020</xdr:colOff>
      <xdr:row>17</xdr:row>
      <xdr:rowOff>129540</xdr:rowOff>
    </xdr:to>
    <xdr:sp macro="" textlink="">
      <xdr:nvSpPr>
        <xdr:cNvPr id="13" name="Højrepil 12"/>
        <xdr:cNvSpPr/>
      </xdr:nvSpPr>
      <xdr:spPr>
        <a:xfrm>
          <a:off x="10911840" y="2583180"/>
          <a:ext cx="601980" cy="76200"/>
        </a:xfrm>
        <a:prstGeom prst="rightArrow">
          <a:avLst/>
        </a:prstGeom>
        <a:solidFill>
          <a:srgbClr val="FF00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da-DK"/>
        </a:p>
      </xdr:txBody>
    </xdr:sp>
    <xdr:clientData/>
  </xdr:twoCellAnchor>
  <xdr:twoCellAnchor>
    <xdr:from>
      <xdr:col>4</xdr:col>
      <xdr:colOff>76200</xdr:colOff>
      <xdr:row>17</xdr:row>
      <xdr:rowOff>68580</xdr:rowOff>
    </xdr:from>
    <xdr:to>
      <xdr:col>4</xdr:col>
      <xdr:colOff>678180</xdr:colOff>
      <xdr:row>17</xdr:row>
      <xdr:rowOff>144780</xdr:rowOff>
    </xdr:to>
    <xdr:sp macro="" textlink="">
      <xdr:nvSpPr>
        <xdr:cNvPr id="16" name="Højrepil 15"/>
        <xdr:cNvSpPr/>
      </xdr:nvSpPr>
      <xdr:spPr>
        <a:xfrm>
          <a:off x="5913120" y="2811780"/>
          <a:ext cx="601980" cy="76200"/>
        </a:xfrm>
        <a:prstGeom prst="rightArrow">
          <a:avLst/>
        </a:prstGeom>
        <a:solidFill>
          <a:srgbClr val="FF00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da-DK"/>
        </a:p>
      </xdr:txBody>
    </xdr:sp>
    <xdr:clientData/>
  </xdr:twoCellAnchor>
  <xdr:twoCellAnchor>
    <xdr:from>
      <xdr:col>4</xdr:col>
      <xdr:colOff>76200</xdr:colOff>
      <xdr:row>21</xdr:row>
      <xdr:rowOff>45720</xdr:rowOff>
    </xdr:from>
    <xdr:to>
      <xdr:col>4</xdr:col>
      <xdr:colOff>678180</xdr:colOff>
      <xdr:row>21</xdr:row>
      <xdr:rowOff>121920</xdr:rowOff>
    </xdr:to>
    <xdr:sp macro="" textlink="">
      <xdr:nvSpPr>
        <xdr:cNvPr id="17" name="Højrepil 16"/>
        <xdr:cNvSpPr/>
      </xdr:nvSpPr>
      <xdr:spPr>
        <a:xfrm>
          <a:off x="5913120" y="15773400"/>
          <a:ext cx="601980" cy="76200"/>
        </a:xfrm>
        <a:prstGeom prst="rightArrow">
          <a:avLst/>
        </a:prstGeom>
        <a:solidFill>
          <a:srgbClr val="FF00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da-DK"/>
        </a:p>
      </xdr:txBody>
    </xdr:sp>
    <xdr:clientData/>
  </xdr:twoCellAnchor>
  <xdr:twoCellAnchor>
    <xdr:from>
      <xdr:col>2</xdr:col>
      <xdr:colOff>7620</xdr:colOff>
      <xdr:row>36</xdr:row>
      <xdr:rowOff>7620</xdr:rowOff>
    </xdr:from>
    <xdr:to>
      <xdr:col>3</xdr:col>
      <xdr:colOff>556260</xdr:colOff>
      <xdr:row>41</xdr:row>
      <xdr:rowOff>0</xdr:rowOff>
    </xdr:to>
    <xdr:cxnSp macro="">
      <xdr:nvCxnSpPr>
        <xdr:cNvPr id="21" name="Lige forbindelse 20"/>
        <xdr:cNvCxnSpPr/>
      </xdr:nvCxnSpPr>
      <xdr:spPr>
        <a:xfrm flipV="1">
          <a:off x="3954780" y="6240780"/>
          <a:ext cx="1287780" cy="868680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550333</xdr:colOff>
      <xdr:row>36</xdr:row>
      <xdr:rowOff>0</xdr:rowOff>
    </xdr:from>
    <xdr:to>
      <xdr:col>5</xdr:col>
      <xdr:colOff>0</xdr:colOff>
      <xdr:row>41</xdr:row>
      <xdr:rowOff>0</xdr:rowOff>
    </xdr:to>
    <xdr:cxnSp macro="">
      <xdr:nvCxnSpPr>
        <xdr:cNvPr id="22" name="Lige forbindelse 21"/>
        <xdr:cNvCxnSpPr/>
      </xdr:nvCxnSpPr>
      <xdr:spPr>
        <a:xfrm>
          <a:off x="3683000" y="6366933"/>
          <a:ext cx="1346200" cy="88900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16934</xdr:colOff>
      <xdr:row>41</xdr:row>
      <xdr:rowOff>0</xdr:rowOff>
    </xdr:from>
    <xdr:to>
      <xdr:col>5</xdr:col>
      <xdr:colOff>0</xdr:colOff>
      <xdr:row>41</xdr:row>
      <xdr:rowOff>8467</xdr:rowOff>
    </xdr:to>
    <xdr:cxnSp macro="">
      <xdr:nvCxnSpPr>
        <xdr:cNvPr id="23" name="Lige forbindelse 22"/>
        <xdr:cNvCxnSpPr/>
      </xdr:nvCxnSpPr>
      <xdr:spPr>
        <a:xfrm>
          <a:off x="2192867" y="7255933"/>
          <a:ext cx="2836333" cy="8467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601134</xdr:colOff>
      <xdr:row>39</xdr:row>
      <xdr:rowOff>0</xdr:rowOff>
    </xdr:from>
    <xdr:to>
      <xdr:col>4</xdr:col>
      <xdr:colOff>406400</xdr:colOff>
      <xdr:row>39</xdr:row>
      <xdr:rowOff>0</xdr:rowOff>
    </xdr:to>
    <xdr:cxnSp macro="">
      <xdr:nvCxnSpPr>
        <xdr:cNvPr id="24" name="Lige forbindelse 23"/>
        <xdr:cNvCxnSpPr/>
      </xdr:nvCxnSpPr>
      <xdr:spPr>
        <a:xfrm>
          <a:off x="2777067" y="6900333"/>
          <a:ext cx="1710266" cy="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491066</xdr:colOff>
      <xdr:row>39</xdr:row>
      <xdr:rowOff>0</xdr:rowOff>
    </xdr:from>
    <xdr:to>
      <xdr:col>3</xdr:col>
      <xdr:colOff>495300</xdr:colOff>
      <xdr:row>41</xdr:row>
      <xdr:rowOff>7620</xdr:rowOff>
    </xdr:to>
    <xdr:cxnSp macro="">
      <xdr:nvCxnSpPr>
        <xdr:cNvPr id="25" name="Lige forbindelse 24"/>
        <xdr:cNvCxnSpPr/>
      </xdr:nvCxnSpPr>
      <xdr:spPr>
        <a:xfrm>
          <a:off x="3623733" y="6900333"/>
          <a:ext cx="4234" cy="36322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7620</xdr:colOff>
      <xdr:row>42</xdr:row>
      <xdr:rowOff>7620</xdr:rowOff>
    </xdr:from>
    <xdr:to>
      <xdr:col>3</xdr:col>
      <xdr:colOff>556260</xdr:colOff>
      <xdr:row>47</xdr:row>
      <xdr:rowOff>0</xdr:rowOff>
    </xdr:to>
    <xdr:cxnSp macro="">
      <xdr:nvCxnSpPr>
        <xdr:cNvPr id="38" name="Lige forbindelse 37"/>
        <xdr:cNvCxnSpPr/>
      </xdr:nvCxnSpPr>
      <xdr:spPr>
        <a:xfrm flipV="1">
          <a:off x="2183553" y="6374553"/>
          <a:ext cx="1505374" cy="881380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550333</xdr:colOff>
      <xdr:row>42</xdr:row>
      <xdr:rowOff>0</xdr:rowOff>
    </xdr:from>
    <xdr:to>
      <xdr:col>5</xdr:col>
      <xdr:colOff>0</xdr:colOff>
      <xdr:row>47</xdr:row>
      <xdr:rowOff>0</xdr:rowOff>
    </xdr:to>
    <xdr:cxnSp macro="">
      <xdr:nvCxnSpPr>
        <xdr:cNvPr id="39" name="Lige forbindelse 38"/>
        <xdr:cNvCxnSpPr/>
      </xdr:nvCxnSpPr>
      <xdr:spPr>
        <a:xfrm>
          <a:off x="3683000" y="6366933"/>
          <a:ext cx="1346200" cy="88900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16934</xdr:colOff>
      <xdr:row>47</xdr:row>
      <xdr:rowOff>0</xdr:rowOff>
    </xdr:from>
    <xdr:to>
      <xdr:col>5</xdr:col>
      <xdr:colOff>0</xdr:colOff>
      <xdr:row>47</xdr:row>
      <xdr:rowOff>8467</xdr:rowOff>
    </xdr:to>
    <xdr:cxnSp macro="">
      <xdr:nvCxnSpPr>
        <xdr:cNvPr id="40" name="Lige forbindelse 39"/>
        <xdr:cNvCxnSpPr/>
      </xdr:nvCxnSpPr>
      <xdr:spPr>
        <a:xfrm>
          <a:off x="2192867" y="7255933"/>
          <a:ext cx="2836333" cy="8467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601134</xdr:colOff>
      <xdr:row>45</xdr:row>
      <xdr:rowOff>0</xdr:rowOff>
    </xdr:from>
    <xdr:to>
      <xdr:col>4</xdr:col>
      <xdr:colOff>406400</xdr:colOff>
      <xdr:row>45</xdr:row>
      <xdr:rowOff>0</xdr:rowOff>
    </xdr:to>
    <xdr:cxnSp macro="">
      <xdr:nvCxnSpPr>
        <xdr:cNvPr id="41" name="Lige forbindelse 40"/>
        <xdr:cNvCxnSpPr/>
      </xdr:nvCxnSpPr>
      <xdr:spPr>
        <a:xfrm>
          <a:off x="2777067" y="6900333"/>
          <a:ext cx="1710266" cy="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491066</xdr:colOff>
      <xdr:row>45</xdr:row>
      <xdr:rowOff>0</xdr:rowOff>
    </xdr:from>
    <xdr:to>
      <xdr:col>3</xdr:col>
      <xdr:colOff>495300</xdr:colOff>
      <xdr:row>47</xdr:row>
      <xdr:rowOff>7620</xdr:rowOff>
    </xdr:to>
    <xdr:cxnSp macro="">
      <xdr:nvCxnSpPr>
        <xdr:cNvPr id="42" name="Lige forbindelse 41"/>
        <xdr:cNvCxnSpPr/>
      </xdr:nvCxnSpPr>
      <xdr:spPr>
        <a:xfrm>
          <a:off x="3623733" y="6900333"/>
          <a:ext cx="4234" cy="36322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95251</xdr:colOff>
      <xdr:row>17</xdr:row>
      <xdr:rowOff>66675</xdr:rowOff>
    </xdr:from>
    <xdr:to>
      <xdr:col>17</xdr:col>
      <xdr:colOff>685801</xdr:colOff>
      <xdr:row>17</xdr:row>
      <xdr:rowOff>123825</xdr:rowOff>
    </xdr:to>
    <xdr:sp macro="" textlink="">
      <xdr:nvSpPr>
        <xdr:cNvPr id="15" name="Højrepil 14"/>
        <xdr:cNvSpPr/>
      </xdr:nvSpPr>
      <xdr:spPr>
        <a:xfrm>
          <a:off x="14916151" y="1209675"/>
          <a:ext cx="590550" cy="57150"/>
        </a:xfrm>
        <a:prstGeom prst="rightArrow">
          <a:avLst/>
        </a:prstGeom>
        <a:solidFill>
          <a:srgbClr val="FF00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da-DK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150495</xdr:colOff>
      <xdr:row>27</xdr:row>
      <xdr:rowOff>165735</xdr:rowOff>
    </xdr:from>
    <xdr:to>
      <xdr:col>8</xdr:col>
      <xdr:colOff>1168400</xdr:colOff>
      <xdr:row>52</xdr:row>
      <xdr:rowOff>93345</xdr:rowOff>
    </xdr:to>
    <xdr:graphicFrame macro="">
      <xdr:nvGraphicFramePr>
        <xdr:cNvPr id="2" name="Diagra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152400</xdr:colOff>
      <xdr:row>56</xdr:row>
      <xdr:rowOff>169334</xdr:rowOff>
    </xdr:from>
    <xdr:to>
      <xdr:col>8</xdr:col>
      <xdr:colOff>1168400</xdr:colOff>
      <xdr:row>81</xdr:row>
      <xdr:rowOff>97790</xdr:rowOff>
    </xdr:to>
    <xdr:graphicFrame macro="">
      <xdr:nvGraphicFramePr>
        <xdr:cNvPr id="4" name="Diagra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de.wikipedia.org/wiki/Mostgewicht" TargetMode="External"/><Relationship Id="rId13" Type="http://schemas.openxmlformats.org/officeDocument/2006/relationships/hyperlink" Target="http://www.lallemandwine.us/products/yeast_chart.php" TargetMode="External"/><Relationship Id="rId18" Type="http://schemas.openxmlformats.org/officeDocument/2006/relationships/hyperlink" Target="http://www.monashscientific.com.au/Baume.htm" TargetMode="External"/><Relationship Id="rId26" Type="http://schemas.openxmlformats.org/officeDocument/2006/relationships/hyperlink" Target="http://www.karolineamalie.dk/index.php?id=4474" TargetMode="External"/><Relationship Id="rId39" Type="http://schemas.openxmlformats.org/officeDocument/2006/relationships/hyperlink" Target="https://da.wikipedia.org/wiki/Fusel" TargetMode="External"/><Relationship Id="rId3" Type="http://schemas.openxmlformats.org/officeDocument/2006/relationships/hyperlink" Target="http://en.wikipedia.org/wiki/Oechsle_scale" TargetMode="External"/><Relationship Id="rId21" Type="http://schemas.openxmlformats.org/officeDocument/2006/relationships/hyperlink" Target="http://www.lallemandwine.us/products/yeast_chart.php" TargetMode="External"/><Relationship Id="rId34" Type="http://schemas.openxmlformats.org/officeDocument/2006/relationships/hyperlink" Target="http://en.wikipedia.org/wiki/Chaptalisation" TargetMode="External"/><Relationship Id="rId7" Type="http://schemas.openxmlformats.org/officeDocument/2006/relationships/hyperlink" Target="http://de.wikipedia.org/wiki/Grad_Oechsle" TargetMode="External"/><Relationship Id="rId12" Type="http://schemas.openxmlformats.org/officeDocument/2006/relationships/hyperlink" Target="http://www.kokaerwine.dk/Gaersiden/Gaer%20etc.2.pdf" TargetMode="External"/><Relationship Id="rId17" Type="http://schemas.openxmlformats.org/officeDocument/2006/relationships/hyperlink" Target="http://www.crcv.com.au/resources/Grape%20and%20Wine%20Quality/Workshop%20Notes/Measuring%20Baume.pdf" TargetMode="External"/><Relationship Id="rId25" Type="http://schemas.openxmlformats.org/officeDocument/2006/relationships/hyperlink" Target="http://www.vinometric.dk/pdf/Sukker&amp;Alk.pdf" TargetMode="External"/><Relationship Id="rId33" Type="http://schemas.openxmlformats.org/officeDocument/2006/relationships/hyperlink" Target="http://www.musther.net/vinocalc.html" TargetMode="External"/><Relationship Id="rId38" Type="http://schemas.openxmlformats.org/officeDocument/2006/relationships/hyperlink" Target="http://shop.vinolhobby.dk/category/turbogaeralkoholgaer-35/" TargetMode="External"/><Relationship Id="rId2" Type="http://schemas.openxmlformats.org/officeDocument/2006/relationships/hyperlink" Target="http://en.wikipedia.org/wiki/Fermentation_(wine)" TargetMode="External"/><Relationship Id="rId16" Type="http://schemas.openxmlformats.org/officeDocument/2006/relationships/hyperlink" Target="http://en.wikipedia.org/wiki/Gravity_(beer)" TargetMode="External"/><Relationship Id="rId20" Type="http://schemas.openxmlformats.org/officeDocument/2006/relationships/hyperlink" Target="http://www.lallemandwine.us/products/nutrient_strains.php" TargetMode="External"/><Relationship Id="rId29" Type="http://schemas.openxmlformats.org/officeDocument/2006/relationships/hyperlink" Target="http://en.wikipedia.org/wiki/Brix" TargetMode="External"/><Relationship Id="rId41" Type="http://schemas.openxmlformats.org/officeDocument/2006/relationships/drawing" Target="../drawings/drawing1.xml"/><Relationship Id="rId1" Type="http://schemas.openxmlformats.org/officeDocument/2006/relationships/hyperlink" Target="http://www.walter-lystfisker.dk/" TargetMode="External"/><Relationship Id="rId6" Type="http://schemas.openxmlformats.org/officeDocument/2006/relationships/hyperlink" Target="http://de.wikipedia.org/wiki/Klosterneuburger_Mostwaage" TargetMode="External"/><Relationship Id="rId11" Type="http://schemas.openxmlformats.org/officeDocument/2006/relationships/hyperlink" Target="http://en.wikipedia.org/wiki/Volume_percent" TargetMode="External"/><Relationship Id="rId24" Type="http://schemas.openxmlformats.org/officeDocument/2006/relationships/hyperlink" Target="http://www.vinavisen.dk/sider/Vinbog_01" TargetMode="External"/><Relationship Id="rId32" Type="http://schemas.openxmlformats.org/officeDocument/2006/relationships/hyperlink" Target="http://en.wikipedia.org/wiki/Granulated_sugar" TargetMode="External"/><Relationship Id="rId37" Type="http://schemas.openxmlformats.org/officeDocument/2006/relationships/hyperlink" Target="http://www.yobrew.co.uk/stuck.php" TargetMode="External"/><Relationship Id="rId40" Type="http://schemas.openxmlformats.org/officeDocument/2006/relationships/printerSettings" Target="../printerSettings/printerSettings1.bin"/><Relationship Id="rId5" Type="http://schemas.openxmlformats.org/officeDocument/2006/relationships/hyperlink" Target="http://www.vinbryggeren.dk/index.html" TargetMode="External"/><Relationship Id="rId15" Type="http://schemas.openxmlformats.org/officeDocument/2006/relationships/hyperlink" Target="http://www.kokaerwine.dk/Gaersiden/Gaer%20etc.2.pdf" TargetMode="External"/><Relationship Id="rId23" Type="http://schemas.openxmlformats.org/officeDocument/2006/relationships/hyperlink" Target="http://www.natlex.dk/mol.html" TargetMode="External"/><Relationship Id="rId28" Type="http://schemas.openxmlformats.org/officeDocument/2006/relationships/hyperlink" Target="http://en.wikipedia.org/wiki/Plato_scale" TargetMode="External"/><Relationship Id="rId36" Type="http://schemas.openxmlformats.org/officeDocument/2006/relationships/hyperlink" Target="http://www.yobrew.co.uk/fermentation.php" TargetMode="External"/><Relationship Id="rId10" Type="http://schemas.openxmlformats.org/officeDocument/2006/relationships/hyperlink" Target="http://en.wikipedia.org/wiki/Alcohol_by_volume" TargetMode="External"/><Relationship Id="rId19" Type="http://schemas.openxmlformats.org/officeDocument/2006/relationships/hyperlink" Target="http://ebrew.com/primarynews/misc_winemaking_charts.htm" TargetMode="External"/><Relationship Id="rId31" Type="http://schemas.openxmlformats.org/officeDocument/2006/relationships/hyperlink" Target="http://www.sugartech.co.za/density/index.php" TargetMode="External"/><Relationship Id="rId4" Type="http://schemas.openxmlformats.org/officeDocument/2006/relationships/hyperlink" Target="http://en.wikipedia.org/wiki/Must_weight" TargetMode="External"/><Relationship Id="rId9" Type="http://schemas.openxmlformats.org/officeDocument/2006/relationships/hyperlink" Target="http://de.wikipedia.org/wiki/Grad_Brix" TargetMode="External"/><Relationship Id="rId14" Type="http://schemas.openxmlformats.org/officeDocument/2006/relationships/hyperlink" Target="http://www.lallemandwine.us/products/nutrient_strains.php" TargetMode="External"/><Relationship Id="rId22" Type="http://schemas.openxmlformats.org/officeDocument/2006/relationships/hyperlink" Target="http://www.frividen.dk/default.aspx" TargetMode="External"/><Relationship Id="rId27" Type="http://schemas.openxmlformats.org/officeDocument/2006/relationships/hyperlink" Target="http://en.wikipedia.org/wiki/Sweetness_of_wine" TargetMode="External"/><Relationship Id="rId30" Type="http://schemas.openxmlformats.org/officeDocument/2006/relationships/hyperlink" Target="http://en.wikipedia.org/wiki/Distilled_beverage" TargetMode="External"/><Relationship Id="rId35" Type="http://schemas.openxmlformats.org/officeDocument/2006/relationships/hyperlink" Target="http://www.walter-lystfisker.dk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de.wikipedia.org/wiki/Mostgewicht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://www.musther.net/vinocalc.html" TargetMode="External"/><Relationship Id="rId2" Type="http://schemas.openxmlformats.org/officeDocument/2006/relationships/hyperlink" Target="http://www.walter-lystfisker.dk/" TargetMode="External"/><Relationship Id="rId1" Type="http://schemas.openxmlformats.org/officeDocument/2006/relationships/hyperlink" Target="http://www.allafrance.com/content/hydrometers-correspondences-and-conversions-p-15-0.html" TargetMode="External"/><Relationship Id="rId5" Type="http://schemas.openxmlformats.org/officeDocument/2006/relationships/drawing" Target="../drawings/drawing2.xml"/><Relationship Id="rId4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A261"/>
  <sheetViews>
    <sheetView tabSelected="1" zoomScaleNormal="100" workbookViewId="0">
      <selection activeCell="A129" sqref="A129"/>
    </sheetView>
  </sheetViews>
  <sheetFormatPr defaultColWidth="8.85546875" defaultRowHeight="12.75"/>
  <cols>
    <col min="1" max="2" width="20.7109375" style="117" customWidth="1"/>
    <col min="3" max="5" width="15.7109375" style="117" customWidth="1"/>
    <col min="6" max="8" width="18.7109375" style="117" customWidth="1"/>
    <col min="9" max="12" width="15.7109375" style="117" customWidth="1"/>
    <col min="13" max="14" width="20.7109375" style="117" customWidth="1"/>
    <col min="15" max="15" width="3.7109375" style="117" customWidth="1"/>
    <col min="16" max="16" width="22.7109375" style="117" customWidth="1"/>
    <col min="17" max="18" width="8.85546875" style="117"/>
    <col min="19" max="19" width="8.85546875" style="117" customWidth="1"/>
    <col min="20" max="20" width="22.7109375" style="117" customWidth="1"/>
    <col min="21" max="22" width="12.7109375" style="117" customWidth="1"/>
    <col min="23" max="23" width="12.7109375" style="262" customWidth="1"/>
    <col min="24" max="26" width="12.7109375" style="117" customWidth="1"/>
    <col min="27" max="16384" width="8.85546875" style="117"/>
  </cols>
  <sheetData>
    <row r="1" spans="1:20" ht="19.899999999999999" customHeight="1">
      <c r="A1" s="401" t="s">
        <v>311</v>
      </c>
      <c r="B1" s="402"/>
      <c r="C1" s="402"/>
      <c r="D1" s="402"/>
      <c r="E1" s="402"/>
      <c r="F1" s="402"/>
      <c r="G1" s="402"/>
      <c r="H1" s="402"/>
      <c r="I1" s="402"/>
      <c r="J1" s="402"/>
      <c r="K1" s="402"/>
      <c r="L1" s="402"/>
      <c r="M1" s="402"/>
      <c r="N1" s="403"/>
      <c r="P1" s="535"/>
      <c r="Q1" s="535"/>
      <c r="R1" s="535"/>
      <c r="S1" s="535"/>
      <c r="T1" s="535"/>
    </row>
    <row r="2" spans="1:20" ht="19.899999999999999" customHeight="1">
      <c r="A2" s="404" t="str">
        <f>IF(D5&gt;E5,"Select a higher value for desired Oechsle degrees. Maximum 150","")</f>
        <v/>
      </c>
      <c r="B2" s="405"/>
      <c r="C2" s="405"/>
      <c r="D2" s="405"/>
      <c r="E2" s="405"/>
      <c r="F2" s="405"/>
      <c r="G2" s="405"/>
      <c r="H2" s="405"/>
      <c r="I2" s="405"/>
      <c r="J2" s="405"/>
      <c r="K2" s="405"/>
      <c r="L2" s="405"/>
      <c r="M2" s="405"/>
      <c r="N2" s="406"/>
      <c r="P2" s="535"/>
      <c r="Q2" s="535"/>
      <c r="R2" s="535"/>
      <c r="S2" s="535"/>
      <c r="T2" s="535"/>
    </row>
    <row r="3" spans="1:20" ht="13.9" customHeight="1">
      <c r="A3" s="411" t="s">
        <v>310</v>
      </c>
      <c r="B3" s="412"/>
      <c r="C3" s="276" t="s">
        <v>312</v>
      </c>
      <c r="D3" s="415" t="s">
        <v>111</v>
      </c>
      <c r="E3" s="416"/>
      <c r="F3" s="276" t="s">
        <v>327</v>
      </c>
      <c r="G3" s="276" t="s">
        <v>46</v>
      </c>
      <c r="H3" s="276" t="s">
        <v>47</v>
      </c>
      <c r="I3" s="415" t="s">
        <v>57</v>
      </c>
      <c r="J3" s="418"/>
      <c r="K3" s="416"/>
      <c r="L3" s="419" t="s">
        <v>74</v>
      </c>
      <c r="M3" s="419"/>
      <c r="N3" s="277"/>
      <c r="P3" s="535"/>
      <c r="Q3" s="535"/>
      <c r="R3" s="535"/>
      <c r="S3" s="535"/>
      <c r="T3" s="535"/>
    </row>
    <row r="4" spans="1:20" ht="13.9" customHeight="1">
      <c r="A4" s="413" t="str">
        <f>IF(D5&lt;75,"Oechsle min. 75 for wine making",IF(AND(D5&gt;=75,D5&lt;=120),"You are within the range",IF(D5&gt;=150,"Oechsle degrees maximum 150","Yeast die at 16.5 vol% of alcohol")))</f>
        <v>You are within the range</v>
      </c>
      <c r="B4" s="414"/>
      <c r="C4" s="276" t="s">
        <v>80</v>
      </c>
      <c r="D4" s="278" t="s">
        <v>68</v>
      </c>
      <c r="E4" s="278" t="s">
        <v>69</v>
      </c>
      <c r="F4" s="276" t="s">
        <v>81</v>
      </c>
      <c r="G4" s="276" t="s">
        <v>138</v>
      </c>
      <c r="H4" s="276" t="s">
        <v>139</v>
      </c>
      <c r="I4" s="276" t="s">
        <v>81</v>
      </c>
      <c r="J4" s="276" t="s">
        <v>80</v>
      </c>
      <c r="K4" s="276" t="s">
        <v>4</v>
      </c>
      <c r="L4" s="278" t="s">
        <v>81</v>
      </c>
      <c r="M4" s="278" t="s">
        <v>80</v>
      </c>
      <c r="N4" s="277"/>
      <c r="P4" s="535"/>
      <c r="Q4" s="535"/>
      <c r="R4" s="535"/>
      <c r="S4" s="535"/>
      <c r="T4" s="535"/>
    </row>
    <row r="5" spans="1:20" ht="13.9" customHeight="1">
      <c r="A5" s="409" t="s">
        <v>114</v>
      </c>
      <c r="B5" s="410"/>
      <c r="C5" s="5">
        <v>25</v>
      </c>
      <c r="D5" s="3">
        <v>76</v>
      </c>
      <c r="E5" s="3">
        <v>90</v>
      </c>
      <c r="F5" s="279">
        <f>ROUND(D8+F7,4)</f>
        <v>5.8783000000000003</v>
      </c>
      <c r="G5" s="280">
        <f>IF(C5&lt;=10,2.5,(C5/10)*2.5)</f>
        <v>6.25</v>
      </c>
      <c r="H5" s="280">
        <f>IF(C5&lt;=10,3,(C5/10)*3)</f>
        <v>7.5</v>
      </c>
      <c r="I5" s="281">
        <f>+F25/1000</f>
        <v>3.1645557692217801</v>
      </c>
      <c r="J5" s="281">
        <f>+I5/K13</f>
        <v>4.010843813969303</v>
      </c>
      <c r="K5" s="282">
        <f>+(J5/(C5))*100</f>
        <v>16.043375255877212</v>
      </c>
      <c r="L5" s="283">
        <f>+F24/1000</f>
        <v>3.0231190413532953</v>
      </c>
      <c r="M5" s="284">
        <f>+K26</f>
        <v>1674.9471709094255</v>
      </c>
      <c r="N5" s="277"/>
      <c r="P5" s="535"/>
      <c r="Q5" s="535"/>
      <c r="R5" s="535"/>
      <c r="S5" s="535"/>
      <c r="T5" s="535"/>
    </row>
    <row r="6" spans="1:20" ht="13.9" customHeight="1">
      <c r="A6" s="407" t="s">
        <v>105</v>
      </c>
      <c r="B6" s="408"/>
      <c r="C6" s="285"/>
      <c r="D6" s="417" t="s">
        <v>67</v>
      </c>
      <c r="E6" s="417"/>
      <c r="F6" s="286" t="s">
        <v>91</v>
      </c>
      <c r="G6" s="421" t="str">
        <f>IF(G7&gt;0.1,"Residual sugar and loss of sugar in wine","It is not possible to ferment wine up to 100%")</f>
        <v>Residual sugar and loss of sugar in wine</v>
      </c>
      <c r="H6" s="421"/>
      <c r="I6" s="420" t="s">
        <v>66</v>
      </c>
      <c r="J6" s="420"/>
      <c r="K6" s="420"/>
      <c r="L6" s="420" t="s">
        <v>65</v>
      </c>
      <c r="M6" s="420"/>
      <c r="N6" s="277"/>
      <c r="P6" s="535"/>
      <c r="Q6" s="535"/>
      <c r="R6" s="535"/>
      <c r="S6" s="535"/>
      <c r="T6" s="535"/>
    </row>
    <row r="7" spans="1:20" ht="13.9" customHeight="1">
      <c r="A7" s="422" t="str">
        <f>+A6</f>
        <v>°Balling</v>
      </c>
      <c r="B7" s="423"/>
      <c r="C7" s="285"/>
      <c r="D7" s="282">
        <f>+'Most Skema'!R5</f>
        <v>198.23927518856897</v>
      </c>
      <c r="E7" s="282">
        <f>+'Most Skema'!S5</f>
        <v>235.13161028940186</v>
      </c>
      <c r="F7" s="287">
        <f>+E8-D8</f>
        <v>0.92230837752082184</v>
      </c>
      <c r="G7" s="288">
        <f>+(F5*(100%-I8)/C5)*1000</f>
        <v>28.216182945326334</v>
      </c>
      <c r="H7" s="276" t="s">
        <v>30</v>
      </c>
      <c r="I7" s="289">
        <f>+J7*K13</f>
        <v>2.784804461339188</v>
      </c>
      <c r="J7" s="281">
        <f>+K7*C5/100</f>
        <v>3.5295367063868035</v>
      </c>
      <c r="K7" s="282">
        <f>+'Most Skema'!S6</f>
        <v>14.118146825547214</v>
      </c>
      <c r="L7" s="283">
        <f>+(I7/H25)*H24</f>
        <v>2.6603403471035798</v>
      </c>
      <c r="M7" s="290">
        <f>+L26</f>
        <v>1473.9510674520604</v>
      </c>
      <c r="N7" s="277"/>
      <c r="P7" s="535"/>
      <c r="Q7" s="535"/>
      <c r="R7" s="535"/>
      <c r="S7" s="535"/>
      <c r="T7" s="535"/>
    </row>
    <row r="8" spans="1:20" ht="13.9" customHeight="1">
      <c r="A8" s="291" t="s">
        <v>68</v>
      </c>
      <c r="B8" s="278" t="s">
        <v>69</v>
      </c>
      <c r="C8" s="285"/>
      <c r="D8" s="292">
        <f>+(D7*C5)/1000</f>
        <v>4.9559818797142245</v>
      </c>
      <c r="E8" s="292">
        <f>+(E7*C5)/1000</f>
        <v>5.8782902572350464</v>
      </c>
      <c r="F8" s="293" t="s">
        <v>71</v>
      </c>
      <c r="G8" s="294" t="s">
        <v>238</v>
      </c>
      <c r="H8" s="7">
        <v>88</v>
      </c>
      <c r="I8" s="295">
        <f>+I7/I5</f>
        <v>0.87999854147744105</v>
      </c>
      <c r="J8" s="296">
        <f>+J7/J5</f>
        <v>0.87999854147744105</v>
      </c>
      <c r="K8" s="296">
        <f>+K7/K5</f>
        <v>0.87999854147744105</v>
      </c>
      <c r="L8" s="296">
        <f>+L7/L5</f>
        <v>0.87999854147744105</v>
      </c>
      <c r="M8" s="296">
        <f>+M7/M5</f>
        <v>0.87999854147744094</v>
      </c>
      <c r="N8" s="277"/>
      <c r="P8" s="535"/>
      <c r="Q8" s="535"/>
      <c r="R8" s="535"/>
      <c r="S8" s="535"/>
      <c r="T8" s="535"/>
    </row>
    <row r="9" spans="1:20" ht="13.9" customHeight="1">
      <c r="A9" s="297">
        <f>+'Most Skema'!R28</f>
        <v>18.425082408057506</v>
      </c>
      <c r="B9" s="298">
        <f>+'Most Skema'!S28</f>
        <v>21.570563832900007</v>
      </c>
      <c r="C9" s="161"/>
      <c r="D9" s="429" t="str">
        <f>+'Most Skema'!AO3</f>
        <v>Medium wine from 12 g/l to 45 g/l</v>
      </c>
      <c r="E9" s="428"/>
      <c r="F9" s="428"/>
      <c r="G9" s="427" t="s">
        <v>290</v>
      </c>
      <c r="H9" s="428"/>
      <c r="I9" s="428"/>
      <c r="J9" s="428"/>
      <c r="K9" s="428"/>
      <c r="L9" s="428" t="s">
        <v>342</v>
      </c>
      <c r="M9" s="435"/>
      <c r="N9" s="277"/>
      <c r="P9" s="535"/>
      <c r="Q9" s="535"/>
      <c r="R9" s="535"/>
      <c r="S9" s="535"/>
      <c r="T9" s="535"/>
    </row>
    <row r="10" spans="1:20" ht="13.9" customHeight="1">
      <c r="A10" s="299"/>
      <c r="B10" s="300"/>
      <c r="C10" s="161"/>
      <c r="D10" s="166"/>
      <c r="E10" s="166"/>
      <c r="F10" s="161"/>
      <c r="G10" s="301"/>
      <c r="H10" s="302"/>
      <c r="I10" s="109"/>
      <c r="J10" s="301"/>
      <c r="K10" s="301"/>
      <c r="L10" s="161"/>
      <c r="M10" s="161"/>
      <c r="N10" s="277"/>
      <c r="P10" s="535"/>
      <c r="Q10" s="535"/>
      <c r="R10" s="535"/>
      <c r="S10" s="535"/>
      <c r="T10" s="535"/>
    </row>
    <row r="11" spans="1:20" ht="13.9" customHeight="1">
      <c r="A11" s="303"/>
      <c r="B11" s="161"/>
      <c r="C11" s="192" t="s">
        <v>48</v>
      </c>
      <c r="D11" s="161"/>
      <c r="E11" s="304"/>
      <c r="F11" s="192" t="s">
        <v>49</v>
      </c>
      <c r="G11" s="109"/>
      <c r="H11" s="301"/>
      <c r="I11" s="192" t="s">
        <v>50</v>
      </c>
      <c r="J11" s="192"/>
      <c r="K11" s="161"/>
      <c r="L11" s="192" t="s">
        <v>51</v>
      </c>
      <c r="M11" s="161"/>
      <c r="N11" s="277"/>
      <c r="P11" s="535"/>
      <c r="Q11" s="535"/>
      <c r="R11" s="535"/>
      <c r="S11" s="535"/>
      <c r="T11" s="535"/>
    </row>
    <row r="12" spans="1:20" ht="13.9" customHeight="1">
      <c r="A12" s="305" t="s">
        <v>99</v>
      </c>
      <c r="B12" s="161"/>
      <c r="C12" s="306">
        <f>+K29</f>
        <v>18.0152</v>
      </c>
      <c r="D12" s="307" t="s">
        <v>11</v>
      </c>
      <c r="E12" s="304"/>
      <c r="F12" s="308">
        <f>+K30</f>
        <v>342.29920000000004</v>
      </c>
      <c r="G12" s="307" t="s">
        <v>11</v>
      </c>
      <c r="H12" s="166"/>
      <c r="I12" s="309">
        <f>+K32</f>
        <v>46.068799999999996</v>
      </c>
      <c r="J12" s="307" t="s">
        <v>11</v>
      </c>
      <c r="K12" s="192" t="s">
        <v>82</v>
      </c>
      <c r="L12" s="310">
        <f>+K31</f>
        <v>44.009799999999998</v>
      </c>
      <c r="M12" s="307" t="s">
        <v>11</v>
      </c>
      <c r="N12" s="277"/>
      <c r="P12" s="535"/>
      <c r="Q12" s="535"/>
      <c r="R12" s="535"/>
      <c r="S12" s="535"/>
      <c r="T12" s="535"/>
    </row>
    <row r="13" spans="1:20" ht="13.9" customHeight="1">
      <c r="A13" s="305" t="s">
        <v>100</v>
      </c>
      <c r="B13" s="161"/>
      <c r="C13" s="311">
        <f>+F27/C12</f>
        <v>17.172987842215218</v>
      </c>
      <c r="D13" s="161" t="s">
        <v>18</v>
      </c>
      <c r="E13" s="304"/>
      <c r="F13" s="311">
        <f>+(F5/F12)*1000</f>
        <v>17.172987842215228</v>
      </c>
      <c r="G13" s="161" t="s">
        <v>18</v>
      </c>
      <c r="H13" s="312"/>
      <c r="I13" s="311">
        <f>+(I5/I12)*1000</f>
        <v>68.691951368860927</v>
      </c>
      <c r="J13" s="161" t="s">
        <v>18</v>
      </c>
      <c r="K13" s="192">
        <v>0.78900000000000003</v>
      </c>
      <c r="L13" s="313">
        <f>+(L5/L12)*1000</f>
        <v>68.691951368860927</v>
      </c>
      <c r="M13" s="161" t="s">
        <v>18</v>
      </c>
      <c r="N13" s="277"/>
      <c r="P13" s="535"/>
      <c r="Q13" s="535"/>
      <c r="R13" s="535"/>
      <c r="S13" s="535"/>
      <c r="T13" s="535"/>
    </row>
    <row r="14" spans="1:20" ht="13.9" customHeight="1">
      <c r="A14" s="303"/>
      <c r="B14" s="161"/>
      <c r="C14" s="161"/>
      <c r="D14" s="161"/>
      <c r="E14" s="161"/>
      <c r="F14" s="161"/>
      <c r="G14" s="430" t="s">
        <v>72</v>
      </c>
      <c r="H14" s="430"/>
      <c r="I14" s="161"/>
      <c r="J14" s="161"/>
      <c r="K14" s="192" t="s">
        <v>83</v>
      </c>
      <c r="L14" s="314"/>
      <c r="M14" s="161"/>
      <c r="N14" s="315"/>
      <c r="P14" s="535"/>
      <c r="Q14" s="535"/>
      <c r="R14" s="535"/>
      <c r="S14" s="535"/>
      <c r="T14" s="535"/>
    </row>
    <row r="15" spans="1:20" ht="13.9" customHeight="1">
      <c r="A15" s="303" t="s">
        <v>313</v>
      </c>
      <c r="B15" s="312"/>
      <c r="C15" s="316"/>
      <c r="D15" s="161"/>
      <c r="E15" s="161"/>
      <c r="F15" s="161"/>
      <c r="G15" s="432" t="s">
        <v>12</v>
      </c>
      <c r="H15" s="432"/>
      <c r="I15" s="161"/>
      <c r="J15" s="161"/>
      <c r="K15" s="300">
        <v>78.400000000000006</v>
      </c>
      <c r="L15" s="161"/>
      <c r="M15" s="161"/>
      <c r="N15" s="315"/>
      <c r="P15" s="540" t="s">
        <v>347</v>
      </c>
      <c r="Q15" s="540"/>
      <c r="R15" s="540"/>
      <c r="S15" s="540"/>
      <c r="T15" s="540"/>
    </row>
    <row r="16" spans="1:20" ht="13.9" customHeight="1">
      <c r="A16" s="303"/>
      <c r="B16" s="307"/>
      <c r="C16" s="161"/>
      <c r="D16" s="161"/>
      <c r="E16" s="161"/>
      <c r="F16" s="317"/>
      <c r="G16" s="317"/>
      <c r="H16" s="317"/>
      <c r="I16" s="192"/>
      <c r="J16" s="192"/>
      <c r="K16" s="161"/>
      <c r="L16" s="192"/>
      <c r="M16" s="317"/>
      <c r="N16" s="318"/>
      <c r="P16" s="541" t="str">
        <f>IF(R33=0,"Reaktanter og Produkter er afstemt","Reaktanter og Produkter er IKKE afstemt korrekt")</f>
        <v>Reaktanter og Produkter er afstemt</v>
      </c>
      <c r="Q16" s="541"/>
      <c r="R16" s="541"/>
      <c r="S16" s="541"/>
      <c r="T16" s="541"/>
    </row>
    <row r="17" spans="1:20" ht="13.9" customHeight="1">
      <c r="A17" s="319"/>
      <c r="B17" s="320"/>
      <c r="C17" s="433" t="s">
        <v>325</v>
      </c>
      <c r="D17" s="433"/>
      <c r="E17" s="321"/>
      <c r="F17" s="433" t="s">
        <v>326</v>
      </c>
      <c r="G17" s="433"/>
      <c r="H17" s="203"/>
      <c r="I17" s="322"/>
      <c r="J17" s="436" t="s">
        <v>84</v>
      </c>
      <c r="K17" s="433"/>
      <c r="L17" s="433"/>
      <c r="M17" s="433"/>
      <c r="N17" s="437"/>
      <c r="P17" s="542" t="s">
        <v>354</v>
      </c>
      <c r="Q17" s="543"/>
      <c r="R17" s="542"/>
      <c r="S17" s="544"/>
      <c r="T17" s="542" t="s">
        <v>355</v>
      </c>
    </row>
    <row r="18" spans="1:20" ht="13.9" customHeight="1">
      <c r="A18" s="323" t="s">
        <v>54</v>
      </c>
      <c r="B18" s="324"/>
      <c r="C18" s="400" t="s">
        <v>351</v>
      </c>
      <c r="D18" s="400"/>
      <c r="E18" s="317"/>
      <c r="F18" s="400" t="s">
        <v>350</v>
      </c>
      <c r="G18" s="400"/>
      <c r="H18" s="192"/>
      <c r="I18" s="325"/>
      <c r="J18" s="326" t="s">
        <v>85</v>
      </c>
      <c r="K18" s="327"/>
      <c r="L18" s="327"/>
      <c r="M18" s="328" t="s">
        <v>52</v>
      </c>
      <c r="N18" s="329"/>
      <c r="P18" s="539" t="str">
        <f>+C18</f>
        <v>H₂O  +  C₁₂H₂₂O₁₁</v>
      </c>
      <c r="Q18" s="539"/>
      <c r="R18" s="539"/>
      <c r="S18" s="545"/>
      <c r="T18" s="542" t="str">
        <f>+F18</f>
        <v>4CO₂  +  4C₂H₆O</v>
      </c>
    </row>
    <row r="19" spans="1:20" ht="13.9" customHeight="1">
      <c r="A19" s="330"/>
      <c r="B19" s="324"/>
      <c r="C19" s="192">
        <v>1</v>
      </c>
      <c r="D19" s="192">
        <v>1</v>
      </c>
      <c r="E19" s="331">
        <v>4</v>
      </c>
      <c r="F19" s="310">
        <f>+K31</f>
        <v>44.009799999999998</v>
      </c>
      <c r="G19" s="332">
        <f>+K32</f>
        <v>46.068799999999996</v>
      </c>
      <c r="H19" s="307"/>
      <c r="I19" s="325"/>
      <c r="J19" s="199"/>
      <c r="K19" s="192" t="s">
        <v>75</v>
      </c>
      <c r="L19" s="192" t="s">
        <v>76</v>
      </c>
      <c r="M19" s="161"/>
      <c r="N19" s="277"/>
      <c r="P19" s="539" t="s">
        <v>348</v>
      </c>
      <c r="Q19" s="539">
        <v>24</v>
      </c>
      <c r="R19" s="539">
        <f>Q19-S19</f>
        <v>0</v>
      </c>
      <c r="S19" s="545">
        <v>24</v>
      </c>
      <c r="T19" s="539" t="s">
        <v>348</v>
      </c>
    </row>
    <row r="20" spans="1:20" ht="13.9" customHeight="1">
      <c r="A20" s="323" t="s">
        <v>70</v>
      </c>
      <c r="B20" s="324"/>
      <c r="C20" s="306">
        <f>1*K29</f>
        <v>18.0152</v>
      </c>
      <c r="D20" s="308">
        <f>1*K30</f>
        <v>342.29920000000004</v>
      </c>
      <c r="E20" s="192"/>
      <c r="F20" s="192">
        <f>+E19*F19</f>
        <v>176.03919999999999</v>
      </c>
      <c r="G20" s="192">
        <f>+E19*G19</f>
        <v>184.27519999999998</v>
      </c>
      <c r="H20" s="312" t="s">
        <v>92</v>
      </c>
      <c r="I20" s="333"/>
      <c r="J20" s="334" t="s">
        <v>15</v>
      </c>
      <c r="K20" s="335">
        <f>+K21*K22*K25/K24</f>
        <v>1.6749471709094255</v>
      </c>
      <c r="L20" s="335">
        <f>+L21*L22*L25/L24</f>
        <v>1.4739510674520604</v>
      </c>
      <c r="M20" s="336" t="s">
        <v>87</v>
      </c>
      <c r="N20" s="337"/>
      <c r="P20" s="546" t="s">
        <v>349</v>
      </c>
      <c r="Q20" s="546">
        <v>12</v>
      </c>
      <c r="R20" s="539">
        <f t="shared" ref="R20:R32" si="0">Q20-S20</f>
        <v>0</v>
      </c>
      <c r="S20" s="538">
        <v>12</v>
      </c>
      <c r="T20" s="546" t="s">
        <v>349</v>
      </c>
    </row>
    <row r="21" spans="1:20" ht="13.9" customHeight="1">
      <c r="A21" s="424" t="s">
        <v>55</v>
      </c>
      <c r="B21" s="425"/>
      <c r="C21" s="192" t="s">
        <v>39</v>
      </c>
      <c r="D21" s="338">
        <f>+F5*1000</f>
        <v>5878.3</v>
      </c>
      <c r="E21" s="327"/>
      <c r="F21" s="327" t="s">
        <v>9</v>
      </c>
      <c r="G21" s="327" t="s">
        <v>2</v>
      </c>
      <c r="H21" s="312" t="s">
        <v>93</v>
      </c>
      <c r="I21" s="339"/>
      <c r="J21" s="340" t="s">
        <v>86</v>
      </c>
      <c r="K21" s="341">
        <f>+L13</f>
        <v>68.691951368860927</v>
      </c>
      <c r="L21" s="317">
        <f>+(L7/L12)*1000</f>
        <v>60.448817015836923</v>
      </c>
      <c r="M21" s="336" t="s">
        <v>88</v>
      </c>
      <c r="N21" s="342"/>
      <c r="P21" s="546" t="s">
        <v>352</v>
      </c>
      <c r="Q21" s="546">
        <v>12</v>
      </c>
      <c r="R21" s="539">
        <f t="shared" si="0"/>
        <v>0</v>
      </c>
      <c r="S21" s="538">
        <v>12</v>
      </c>
      <c r="T21" s="546" t="s">
        <v>352</v>
      </c>
    </row>
    <row r="22" spans="1:20" ht="13.9" customHeight="1">
      <c r="A22" s="424"/>
      <c r="B22" s="425"/>
      <c r="C22" s="426" t="str">
        <f>CONCATENATE(C21,"+  ",D21)</f>
        <v>z  +  5878,3</v>
      </c>
      <c r="D22" s="426"/>
      <c r="E22" s="327"/>
      <c r="F22" s="426" t="s">
        <v>37</v>
      </c>
      <c r="G22" s="426"/>
      <c r="H22" s="343">
        <f>+D21/F26</f>
        <v>0.95000144318406377</v>
      </c>
      <c r="I22" s="344" t="s">
        <v>62</v>
      </c>
      <c r="J22" s="209" t="s">
        <v>16</v>
      </c>
      <c r="K22" s="345">
        <v>8.3145000000000007</v>
      </c>
      <c r="L22" s="327">
        <f>+K22</f>
        <v>8.3145000000000007</v>
      </c>
      <c r="M22" s="336" t="s">
        <v>89</v>
      </c>
      <c r="N22" s="346"/>
      <c r="P22" s="546"/>
      <c r="Q22" s="546"/>
      <c r="R22" s="539">
        <f t="shared" si="0"/>
        <v>0</v>
      </c>
      <c r="S22" s="538"/>
      <c r="T22" s="542"/>
    </row>
    <row r="23" spans="1:20" ht="13.9" customHeight="1">
      <c r="A23" s="323" t="s">
        <v>56</v>
      </c>
      <c r="B23" s="324"/>
      <c r="C23" s="434">
        <f>+C20+D20</f>
        <v>360.31440000000003</v>
      </c>
      <c r="D23" s="434"/>
      <c r="E23" s="192" t="s">
        <v>1</v>
      </c>
      <c r="F23" s="434">
        <f>4*(F19+G19)</f>
        <v>360.31439999999998</v>
      </c>
      <c r="G23" s="434"/>
      <c r="H23" s="192" t="s">
        <v>1</v>
      </c>
      <c r="I23" s="324"/>
      <c r="J23" s="334" t="s">
        <v>20</v>
      </c>
      <c r="K23" s="4">
        <v>24</v>
      </c>
      <c r="L23" s="192">
        <f>+K23</f>
        <v>24</v>
      </c>
      <c r="M23" s="336" t="s">
        <v>77</v>
      </c>
      <c r="N23" s="337"/>
      <c r="P23" s="542"/>
      <c r="Q23" s="543"/>
      <c r="R23" s="539">
        <f t="shared" si="0"/>
        <v>0</v>
      </c>
      <c r="S23" s="544"/>
      <c r="T23" s="542"/>
    </row>
    <row r="24" spans="1:20" ht="13.9" customHeight="1">
      <c r="A24" s="323" t="s">
        <v>74</v>
      </c>
      <c r="B24" s="324"/>
      <c r="C24" s="192" t="s">
        <v>10</v>
      </c>
      <c r="D24" s="307" t="s">
        <v>94</v>
      </c>
      <c r="E24" s="166"/>
      <c r="F24" s="347">
        <f>(D21/D20)*F20</f>
        <v>3023.1190413532954</v>
      </c>
      <c r="G24" s="192" t="s">
        <v>0</v>
      </c>
      <c r="H24" s="348">
        <f>+F24/F26</f>
        <v>0.48857109235711921</v>
      </c>
      <c r="I24" s="333" t="s">
        <v>53</v>
      </c>
      <c r="J24" s="334" t="s">
        <v>14</v>
      </c>
      <c r="K24" s="4">
        <v>101325</v>
      </c>
      <c r="L24" s="192">
        <f>+K24</f>
        <v>101325</v>
      </c>
      <c r="M24" s="336" t="s">
        <v>78</v>
      </c>
      <c r="N24" s="337"/>
      <c r="P24" s="546"/>
      <c r="Q24" s="547"/>
      <c r="R24" s="539">
        <f t="shared" si="0"/>
        <v>0</v>
      </c>
      <c r="S24" s="538"/>
      <c r="T24" s="542"/>
    </row>
    <row r="25" spans="1:20" ht="13.9" customHeight="1">
      <c r="A25" s="323" t="s">
        <v>57</v>
      </c>
      <c r="B25" s="324"/>
      <c r="C25" s="192" t="s">
        <v>3</v>
      </c>
      <c r="D25" s="307" t="s">
        <v>95</v>
      </c>
      <c r="E25" s="166"/>
      <c r="F25" s="347">
        <f>(D21/D20)*G20</f>
        <v>3164.5557692217799</v>
      </c>
      <c r="G25" s="192" t="s">
        <v>0</v>
      </c>
      <c r="H25" s="348">
        <f>+F25/F26</f>
        <v>0.51142890764288074</v>
      </c>
      <c r="I25" s="333" t="s">
        <v>45</v>
      </c>
      <c r="J25" s="209" t="s">
        <v>21</v>
      </c>
      <c r="K25" s="192">
        <f>K23+273.15</f>
        <v>297.14999999999998</v>
      </c>
      <c r="L25" s="192">
        <f>+K25</f>
        <v>297.14999999999998</v>
      </c>
      <c r="M25" s="349" t="s">
        <v>19</v>
      </c>
      <c r="N25" s="350"/>
      <c r="P25" s="548"/>
      <c r="Q25" s="549"/>
      <c r="R25" s="539">
        <f t="shared" si="0"/>
        <v>0</v>
      </c>
      <c r="S25" s="538"/>
      <c r="T25" s="542"/>
    </row>
    <row r="26" spans="1:20" ht="13.9" customHeight="1">
      <c r="A26" s="303"/>
      <c r="B26" s="324"/>
      <c r="C26" s="192" t="s">
        <v>38</v>
      </c>
      <c r="D26" s="307" t="s">
        <v>96</v>
      </c>
      <c r="E26" s="166"/>
      <c r="F26" s="347">
        <f>SUM(F24:F25)</f>
        <v>6187.6748105750758</v>
      </c>
      <c r="G26" s="192" t="s">
        <v>0</v>
      </c>
      <c r="H26" s="351">
        <f>SUM(H24:H25)</f>
        <v>1</v>
      </c>
      <c r="I26" s="333" t="s">
        <v>41</v>
      </c>
      <c r="J26" s="209" t="s">
        <v>17</v>
      </c>
      <c r="K26" s="352">
        <f>+K20*1000</f>
        <v>1674.9471709094255</v>
      </c>
      <c r="L26" s="352">
        <f>+L20*1000</f>
        <v>1473.9510674520604</v>
      </c>
      <c r="M26" s="353" t="s">
        <v>90</v>
      </c>
      <c r="N26" s="354"/>
      <c r="P26" s="550"/>
      <c r="Q26" s="551"/>
      <c r="R26" s="539">
        <f t="shared" si="0"/>
        <v>0</v>
      </c>
      <c r="S26" s="538"/>
      <c r="T26" s="542"/>
    </row>
    <row r="27" spans="1:20" ht="13.9" customHeight="1">
      <c r="A27" s="355"/>
      <c r="B27" s="356"/>
      <c r="C27" s="357" t="s">
        <v>40</v>
      </c>
      <c r="D27" s="358" t="s">
        <v>97</v>
      </c>
      <c r="E27" s="358"/>
      <c r="F27" s="359">
        <f>+F26-D21</f>
        <v>309.37481057507557</v>
      </c>
      <c r="G27" s="360" t="s">
        <v>0</v>
      </c>
      <c r="H27" s="361">
        <f>+F27/F26</f>
        <v>4.9998556815936263E-2</v>
      </c>
      <c r="I27" s="362" t="s">
        <v>61</v>
      </c>
      <c r="J27" s="193"/>
      <c r="K27" s="194"/>
      <c r="L27" s="194"/>
      <c r="M27" s="363"/>
      <c r="N27" s="364"/>
      <c r="P27" s="552"/>
      <c r="Q27" s="553"/>
      <c r="R27" s="539">
        <f t="shared" si="0"/>
        <v>0</v>
      </c>
      <c r="S27" s="538"/>
      <c r="T27" s="542"/>
    </row>
    <row r="28" spans="1:20" ht="13.9" customHeight="1">
      <c r="A28" s="365" t="s">
        <v>79</v>
      </c>
      <c r="B28" s="161"/>
      <c r="C28" s="431" t="s">
        <v>98</v>
      </c>
      <c r="D28" s="431"/>
      <c r="E28" s="433" t="s">
        <v>63</v>
      </c>
      <c r="F28" s="433"/>
      <c r="G28" s="433"/>
      <c r="H28" s="161"/>
      <c r="I28" s="161"/>
      <c r="J28" s="321"/>
      <c r="K28" s="431" t="s">
        <v>64</v>
      </c>
      <c r="L28" s="431"/>
      <c r="M28" s="200"/>
      <c r="N28" s="366"/>
      <c r="P28" s="542"/>
      <c r="Q28" s="543"/>
      <c r="R28" s="539">
        <f t="shared" si="0"/>
        <v>0</v>
      </c>
      <c r="S28" s="544"/>
      <c r="T28" s="542"/>
    </row>
    <row r="29" spans="1:20" ht="13.9" customHeight="1">
      <c r="A29" s="305" t="s">
        <v>59</v>
      </c>
      <c r="B29" s="161"/>
      <c r="C29" s="367" t="s">
        <v>5</v>
      </c>
      <c r="D29" s="161">
        <v>1.0079</v>
      </c>
      <c r="E29" s="307"/>
      <c r="F29" s="307" t="s">
        <v>48</v>
      </c>
      <c r="G29" s="307" t="s">
        <v>61</v>
      </c>
      <c r="H29" s="161" t="s">
        <v>33</v>
      </c>
      <c r="I29" s="161"/>
      <c r="J29" s="161"/>
      <c r="K29" s="368">
        <f>+(D29*2)+D30</f>
        <v>18.0152</v>
      </c>
      <c r="L29" s="192" t="s">
        <v>1</v>
      </c>
      <c r="M29" s="200"/>
      <c r="N29" s="369"/>
      <c r="P29" s="542"/>
      <c r="Q29" s="543"/>
      <c r="R29" s="539">
        <f t="shared" si="0"/>
        <v>0</v>
      </c>
      <c r="S29" s="544"/>
      <c r="T29" s="542"/>
    </row>
    <row r="30" spans="1:20" ht="13.9" customHeight="1">
      <c r="A30" s="305" t="s">
        <v>60</v>
      </c>
      <c r="B30" s="161"/>
      <c r="C30" s="192" t="s">
        <v>7</v>
      </c>
      <c r="D30" s="161">
        <v>15.9994</v>
      </c>
      <c r="E30" s="307"/>
      <c r="F30" s="307" t="s">
        <v>49</v>
      </c>
      <c r="G30" s="307" t="s">
        <v>62</v>
      </c>
      <c r="H30" s="161" t="s">
        <v>35</v>
      </c>
      <c r="I30" s="161"/>
      <c r="J30" s="192"/>
      <c r="K30" s="370">
        <f>+(D31*12)+(D29*22)+(D30*11)</f>
        <v>342.29920000000004</v>
      </c>
      <c r="L30" s="192" t="s">
        <v>1</v>
      </c>
      <c r="M30" s="200"/>
      <c r="N30" s="369"/>
      <c r="P30" s="542"/>
      <c r="Q30" s="543"/>
      <c r="R30" s="539">
        <f t="shared" si="0"/>
        <v>0</v>
      </c>
      <c r="S30" s="544"/>
      <c r="T30" s="542"/>
    </row>
    <row r="31" spans="1:20" ht="13.9" customHeight="1">
      <c r="A31" s="305" t="s">
        <v>58</v>
      </c>
      <c r="B31" s="161"/>
      <c r="C31" s="192" t="s">
        <v>6</v>
      </c>
      <c r="D31" s="371">
        <v>12.010999999999999</v>
      </c>
      <c r="E31" s="161"/>
      <c r="F31" s="307" t="s">
        <v>51</v>
      </c>
      <c r="G31" s="312" t="s">
        <v>190</v>
      </c>
      <c r="H31" s="161" t="s">
        <v>34</v>
      </c>
      <c r="I31" s="161"/>
      <c r="J31" s="161"/>
      <c r="K31" s="372">
        <f>+D31+(D30*2)</f>
        <v>44.009799999999998</v>
      </c>
      <c r="L31" s="192" t="s">
        <v>1</v>
      </c>
      <c r="M31" s="200"/>
      <c r="N31" s="369"/>
      <c r="P31" s="542"/>
      <c r="Q31" s="543"/>
      <c r="R31" s="539">
        <f t="shared" si="0"/>
        <v>0</v>
      </c>
      <c r="S31" s="544"/>
      <c r="T31" s="542"/>
    </row>
    <row r="32" spans="1:20" ht="13.9" customHeight="1">
      <c r="A32" s="305" t="s">
        <v>179</v>
      </c>
      <c r="B32" s="161"/>
      <c r="C32" s="192" t="s">
        <v>155</v>
      </c>
      <c r="D32" s="161">
        <v>35.453000000000003</v>
      </c>
      <c r="E32" s="161"/>
      <c r="F32" s="307" t="s">
        <v>50</v>
      </c>
      <c r="G32" s="307" t="s">
        <v>45</v>
      </c>
      <c r="H32" s="161" t="s">
        <v>36</v>
      </c>
      <c r="I32" s="161"/>
      <c r="J32" s="161"/>
      <c r="K32" s="373">
        <f>+(D31*2)+(D29*6)+D30</f>
        <v>46.068799999999996</v>
      </c>
      <c r="L32" s="192" t="s">
        <v>1</v>
      </c>
      <c r="M32" s="200"/>
      <c r="N32" s="374"/>
      <c r="P32" s="542"/>
      <c r="Q32" s="543"/>
      <c r="R32" s="539">
        <f t="shared" si="0"/>
        <v>0</v>
      </c>
      <c r="S32" s="544"/>
      <c r="T32" s="542"/>
    </row>
    <row r="33" spans="1:20" ht="13.9" customHeight="1" thickBot="1">
      <c r="A33" s="305" t="s">
        <v>181</v>
      </c>
      <c r="B33" s="161"/>
      <c r="C33" s="192" t="s">
        <v>153</v>
      </c>
      <c r="D33" s="161">
        <v>22.989799999999999</v>
      </c>
      <c r="E33" s="161"/>
      <c r="F33" s="161" t="s">
        <v>156</v>
      </c>
      <c r="G33" s="312" t="s">
        <v>186</v>
      </c>
      <c r="H33" s="161" t="s">
        <v>177</v>
      </c>
      <c r="I33" s="161"/>
      <c r="J33" s="161"/>
      <c r="K33" s="161">
        <f>+D33+D32</f>
        <v>58.442800000000005</v>
      </c>
      <c r="L33" s="192" t="s">
        <v>1</v>
      </c>
      <c r="M33" s="200"/>
      <c r="N33" s="374"/>
      <c r="P33" s="554"/>
      <c r="Q33" s="554"/>
      <c r="R33" s="554">
        <f>SUM(R19:R32)</f>
        <v>0</v>
      </c>
      <c r="S33" s="555"/>
      <c r="T33" s="554"/>
    </row>
    <row r="34" spans="1:20" ht="13.9" customHeight="1" thickTop="1">
      <c r="A34" s="305" t="s">
        <v>180</v>
      </c>
      <c r="B34" s="161"/>
      <c r="C34" s="192" t="s">
        <v>154</v>
      </c>
      <c r="D34" s="161">
        <v>55.847000000000001</v>
      </c>
      <c r="E34" s="161"/>
      <c r="F34" s="307" t="s">
        <v>157</v>
      </c>
      <c r="G34" s="312" t="s">
        <v>182</v>
      </c>
      <c r="H34" s="161" t="s">
        <v>178</v>
      </c>
      <c r="I34" s="161"/>
      <c r="J34" s="161"/>
      <c r="K34" s="375">
        <f>+D34+(D32*3)</f>
        <v>162.20600000000002</v>
      </c>
      <c r="L34" s="192" t="s">
        <v>1</v>
      </c>
      <c r="M34" s="200"/>
      <c r="N34" s="374"/>
    </row>
    <row r="35" spans="1:20" ht="13.9" customHeight="1">
      <c r="A35" s="303"/>
      <c r="B35" s="161"/>
      <c r="C35" s="161"/>
      <c r="D35" s="161"/>
      <c r="E35" s="161"/>
      <c r="F35" s="161"/>
      <c r="G35" s="161"/>
      <c r="H35" s="161"/>
      <c r="I35" s="161"/>
      <c r="J35" s="161"/>
      <c r="K35" s="375"/>
      <c r="L35" s="192"/>
      <c r="M35" s="200"/>
      <c r="N35" s="374"/>
    </row>
    <row r="36" spans="1:20" ht="13.9" customHeight="1">
      <c r="A36" s="399" t="s">
        <v>158</v>
      </c>
      <c r="B36" s="161"/>
      <c r="C36" s="161"/>
      <c r="D36" s="376"/>
      <c r="E36" s="376"/>
      <c r="F36" s="400" t="str">
        <f>CONCATENATE(A112,B112,D112,E112,F112,G112,H112)</f>
        <v>How many grams Sodium and Gram Chlorine is in 730 grams of the substance?</v>
      </c>
      <c r="G36" s="400"/>
      <c r="H36" s="400"/>
      <c r="I36" s="400"/>
      <c r="J36" s="400" t="str">
        <f>CONCATENATE(A113,C113,D113,E113,G113,H113)</f>
        <v>What is the concentration of 0,73 kg  of the substance dissolved in 1 liters of water?</v>
      </c>
      <c r="K36" s="400"/>
      <c r="L36" s="400"/>
      <c r="M36" s="400"/>
      <c r="N36" s="442"/>
    </row>
    <row r="37" spans="1:20" ht="13.9" customHeight="1">
      <c r="A37" s="399" t="s">
        <v>8</v>
      </c>
      <c r="B37" s="161"/>
      <c r="C37" s="376"/>
      <c r="D37" s="376"/>
      <c r="E37" s="376"/>
      <c r="F37" s="161"/>
      <c r="G37" s="161"/>
      <c r="H37" s="377" t="s">
        <v>193</v>
      </c>
      <c r="I37" s="161"/>
      <c r="J37" s="161"/>
      <c r="K37" s="439" t="s">
        <v>192</v>
      </c>
      <c r="L37" s="439"/>
      <c r="M37" s="439"/>
      <c r="N37" s="277"/>
    </row>
    <row r="38" spans="1:20" ht="13.9" customHeight="1">
      <c r="A38" s="303"/>
      <c r="B38" s="161"/>
      <c r="C38" s="378"/>
      <c r="D38" s="378" t="s">
        <v>159</v>
      </c>
      <c r="E38" s="376"/>
      <c r="F38" s="400" t="s">
        <v>194</v>
      </c>
      <c r="G38" s="400"/>
      <c r="H38" s="1">
        <v>730</v>
      </c>
      <c r="I38" s="336"/>
      <c r="J38" s="176"/>
      <c r="K38" s="176"/>
      <c r="L38" s="1">
        <v>1</v>
      </c>
      <c r="M38" s="161"/>
      <c r="N38" s="277"/>
    </row>
    <row r="39" spans="1:20" ht="13.9" customHeight="1">
      <c r="A39" s="303" t="s">
        <v>202</v>
      </c>
      <c r="B39" s="161"/>
      <c r="C39" s="378"/>
      <c r="D39" s="378"/>
      <c r="E39" s="376"/>
      <c r="F39" s="400" t="s">
        <v>195</v>
      </c>
      <c r="G39" s="400"/>
      <c r="H39" s="2" t="s">
        <v>186</v>
      </c>
      <c r="I39" s="161"/>
      <c r="J39" s="161"/>
      <c r="K39" s="161"/>
      <c r="L39" s="192" t="str">
        <f>+H39</f>
        <v>Sodium Chloride</v>
      </c>
      <c r="M39" s="161"/>
      <c r="N39" s="277"/>
    </row>
    <row r="40" spans="1:20" ht="13.9" customHeight="1">
      <c r="A40" s="305" t="s">
        <v>203</v>
      </c>
      <c r="B40" s="161"/>
      <c r="C40" s="379"/>
      <c r="D40" s="376" t="s">
        <v>160</v>
      </c>
      <c r="E40" s="380"/>
      <c r="F40" s="400" t="s">
        <v>64</v>
      </c>
      <c r="G40" s="400"/>
      <c r="H40" s="192">
        <f>+A117</f>
        <v>58.442800000000005</v>
      </c>
      <c r="I40" s="307" t="s">
        <v>1</v>
      </c>
      <c r="J40" s="166"/>
      <c r="K40" s="192" t="s">
        <v>163</v>
      </c>
      <c r="L40" s="192" t="s">
        <v>164</v>
      </c>
      <c r="M40" s="192" t="s">
        <v>165</v>
      </c>
      <c r="N40" s="277"/>
    </row>
    <row r="41" spans="1:20" ht="13.9" customHeight="1">
      <c r="A41" s="305" t="s">
        <v>204</v>
      </c>
      <c r="B41" s="161"/>
      <c r="C41" s="376"/>
      <c r="D41" s="376"/>
      <c r="E41" s="376"/>
      <c r="F41" s="304" t="s">
        <v>196</v>
      </c>
      <c r="G41" s="192" t="s">
        <v>197</v>
      </c>
      <c r="H41" s="317">
        <f>+H38/H40</f>
        <v>12.490845750032509</v>
      </c>
      <c r="I41" s="307" t="s">
        <v>166</v>
      </c>
      <c r="J41" s="161"/>
      <c r="K41" s="192" t="s">
        <v>167</v>
      </c>
      <c r="L41" s="381">
        <f>+(H38)/((L38*1000)+H38)</f>
        <v>0.42196531791907516</v>
      </c>
      <c r="M41" s="192" t="s">
        <v>198</v>
      </c>
      <c r="N41" s="277"/>
    </row>
    <row r="42" spans="1:20" ht="13.9" customHeight="1">
      <c r="A42" s="303"/>
      <c r="B42" s="161"/>
      <c r="C42" s="376"/>
      <c r="D42" s="376"/>
      <c r="E42" s="376"/>
      <c r="F42" s="304"/>
      <c r="G42" s="192"/>
      <c r="H42" s="192" t="str">
        <f>+A115</f>
        <v>Sodium Chloride</v>
      </c>
      <c r="I42" s="307"/>
      <c r="J42" s="161"/>
      <c r="K42" s="327" t="s">
        <v>168</v>
      </c>
      <c r="L42" s="235">
        <f>+(H38+(L38*1000))/((H38/A124)+(L38*1000))</f>
        <v>1.2937651122625216</v>
      </c>
      <c r="M42" s="192" t="s">
        <v>169</v>
      </c>
      <c r="N42" s="277"/>
    </row>
    <row r="43" spans="1:20" ht="13.9" customHeight="1">
      <c r="A43" s="305" t="s">
        <v>205</v>
      </c>
      <c r="B43" s="161"/>
      <c r="C43" s="376"/>
      <c r="D43" s="376"/>
      <c r="E43" s="376"/>
      <c r="F43" s="304" t="s">
        <v>170</v>
      </c>
      <c r="G43" s="192" t="str">
        <f>+A118</f>
        <v>Sodium</v>
      </c>
      <c r="H43" s="300">
        <f>+H41*A119</f>
        <v>287.16204562409735</v>
      </c>
      <c r="I43" s="307" t="str">
        <f>CONCATENATE("gram ",A122)</f>
        <v>gram Na</v>
      </c>
      <c r="J43" s="161"/>
      <c r="K43" s="192" t="s">
        <v>171</v>
      </c>
      <c r="L43" s="382">
        <f>145-(145/L42)</f>
        <v>32.92401447089135</v>
      </c>
      <c r="M43" s="192" t="s">
        <v>172</v>
      </c>
      <c r="N43" s="277"/>
    </row>
    <row r="44" spans="1:20" ht="13.9" customHeight="1">
      <c r="A44" s="303"/>
      <c r="B44" s="161"/>
      <c r="C44" s="378"/>
      <c r="D44" s="378" t="s">
        <v>161</v>
      </c>
      <c r="E44" s="376"/>
      <c r="F44" s="304" t="s">
        <v>170</v>
      </c>
      <c r="G44" s="192" t="str">
        <f>+A120</f>
        <v>Chlorine</v>
      </c>
      <c r="H44" s="300">
        <f>+H41*A121</f>
        <v>442.8379543759026</v>
      </c>
      <c r="I44" s="307" t="str">
        <f>CONCATENATE("gram ",A123)</f>
        <v>gram Cl</v>
      </c>
      <c r="J44" s="161"/>
      <c r="K44" s="192" t="s">
        <v>163</v>
      </c>
      <c r="L44" s="367">
        <f>+H41/L38</f>
        <v>12.490845750032509</v>
      </c>
      <c r="M44" s="192" t="s">
        <v>165</v>
      </c>
      <c r="N44" s="277"/>
    </row>
    <row r="45" spans="1:20" ht="13.9" customHeight="1" thickBot="1">
      <c r="A45" s="305" t="s">
        <v>203</v>
      </c>
      <c r="B45" s="161"/>
      <c r="C45" s="378"/>
      <c r="D45" s="378"/>
      <c r="E45" s="376"/>
      <c r="F45" s="438" t="s">
        <v>200</v>
      </c>
      <c r="G45" s="438"/>
      <c r="H45" s="383">
        <f>SUM(H43:H44)</f>
        <v>730</v>
      </c>
      <c r="I45" s="384" t="s">
        <v>201</v>
      </c>
      <c r="J45" s="161"/>
      <c r="K45" s="385" t="s">
        <v>163</v>
      </c>
      <c r="L45" s="386">
        <f>+L44</f>
        <v>12.490845750032509</v>
      </c>
      <c r="M45" s="385" t="s">
        <v>199</v>
      </c>
      <c r="N45" s="277"/>
    </row>
    <row r="46" spans="1:20" ht="13.9" customHeight="1" thickTop="1">
      <c r="A46" s="305" t="s">
        <v>206</v>
      </c>
      <c r="B46" s="161"/>
      <c r="C46" s="379"/>
      <c r="D46" s="376" t="s">
        <v>162</v>
      </c>
      <c r="E46" s="380"/>
      <c r="F46" s="161"/>
      <c r="G46" s="307"/>
      <c r="H46" s="161"/>
      <c r="I46" s="161"/>
      <c r="J46" s="161"/>
      <c r="K46" s="375"/>
      <c r="L46" s="192"/>
      <c r="M46" s="200"/>
      <c r="N46" s="374"/>
    </row>
    <row r="47" spans="1:20" ht="13.9" customHeight="1">
      <c r="A47" s="303" t="s">
        <v>207</v>
      </c>
      <c r="B47" s="161"/>
      <c r="C47" s="376"/>
      <c r="D47" s="376"/>
      <c r="E47" s="376"/>
      <c r="F47" s="307"/>
      <c r="G47" s="307"/>
      <c r="H47" s="161"/>
      <c r="I47" s="161"/>
      <c r="J47" s="161"/>
      <c r="K47" s="375"/>
      <c r="L47" s="192"/>
      <c r="M47" s="200"/>
      <c r="N47" s="374"/>
    </row>
    <row r="48" spans="1:20" ht="13.9" customHeight="1" thickBot="1">
      <c r="A48" s="303"/>
      <c r="B48" s="387"/>
      <c r="C48" s="376"/>
      <c r="D48" s="376"/>
      <c r="E48" s="376"/>
      <c r="F48" s="307"/>
      <c r="G48" s="387"/>
      <c r="H48" s="387"/>
      <c r="I48" s="387"/>
      <c r="J48" s="387"/>
      <c r="K48" s="387"/>
      <c r="L48" s="387"/>
      <c r="M48" s="388"/>
      <c r="N48" s="389"/>
    </row>
    <row r="49" spans="1:26" ht="20.100000000000001" customHeight="1">
      <c r="A49" s="390"/>
      <c r="B49" s="391"/>
      <c r="C49" s="391"/>
      <c r="D49" s="391"/>
      <c r="E49" s="391"/>
      <c r="F49" s="392"/>
      <c r="G49" s="391"/>
      <c r="H49" s="391"/>
      <c r="I49" s="391"/>
      <c r="J49" s="391"/>
      <c r="K49" s="391"/>
      <c r="L49" s="391"/>
      <c r="M49" s="440" t="s">
        <v>13</v>
      </c>
      <c r="N49" s="441"/>
      <c r="O49" s="273"/>
      <c r="P49" s="530" t="s">
        <v>323</v>
      </c>
      <c r="Q49" s="274"/>
      <c r="R49" s="274"/>
      <c r="S49" s="274"/>
      <c r="T49" s="274"/>
      <c r="U49" s="274"/>
      <c r="V49" s="275"/>
      <c r="W49" s="275"/>
      <c r="X49" s="275"/>
      <c r="Y49" s="275"/>
      <c r="Z49" s="275"/>
    </row>
    <row r="50" spans="1:26" ht="20.100000000000001" customHeight="1">
      <c r="A50" s="479" t="s">
        <v>129</v>
      </c>
      <c r="B50" s="480"/>
      <c r="C50" s="480"/>
      <c r="D50" s="480"/>
      <c r="E50" s="480"/>
      <c r="F50" s="480"/>
      <c r="G50" s="480"/>
      <c r="H50" s="480"/>
      <c r="I50" s="480"/>
      <c r="J50" s="480"/>
      <c r="K50" s="481"/>
      <c r="L50" s="480"/>
      <c r="M50" s="480"/>
      <c r="N50" s="482"/>
      <c r="O50" s="275"/>
      <c r="P50" s="531" t="s">
        <v>22</v>
      </c>
      <c r="Q50" s="275"/>
      <c r="R50" s="275"/>
      <c r="S50" s="275"/>
      <c r="T50" s="275"/>
      <c r="U50" s="275"/>
      <c r="V50" s="275"/>
      <c r="W50" s="275"/>
      <c r="X50" s="275"/>
      <c r="Y50" s="275"/>
      <c r="Z50" s="275"/>
    </row>
    <row r="51" spans="1:26" ht="20.100000000000001" customHeight="1">
      <c r="A51" s="483" t="s">
        <v>128</v>
      </c>
      <c r="B51" s="480"/>
      <c r="C51" s="480"/>
      <c r="D51" s="480"/>
      <c r="E51" s="480"/>
      <c r="F51" s="480"/>
      <c r="G51" s="480"/>
      <c r="H51" s="480"/>
      <c r="I51" s="480"/>
      <c r="J51" s="480"/>
      <c r="K51" s="481"/>
      <c r="L51" s="480"/>
      <c r="M51" s="480"/>
      <c r="N51" s="482"/>
      <c r="O51" s="275"/>
      <c r="P51" s="532"/>
      <c r="Q51" s="275"/>
      <c r="R51" s="275"/>
      <c r="S51" s="275"/>
      <c r="T51" s="275"/>
      <c r="U51" s="275"/>
      <c r="V51" s="275"/>
      <c r="W51" s="275"/>
      <c r="X51" s="275"/>
      <c r="Y51" s="275"/>
      <c r="Z51" s="275"/>
    </row>
    <row r="52" spans="1:26" ht="20.100000000000001" customHeight="1">
      <c r="A52" s="484" t="s">
        <v>42</v>
      </c>
      <c r="B52" s="480"/>
      <c r="C52" s="480"/>
      <c r="D52" s="480"/>
      <c r="E52" s="485" t="s">
        <v>150</v>
      </c>
      <c r="F52" s="480"/>
      <c r="G52" s="480"/>
      <c r="H52" s="480"/>
      <c r="I52" s="480"/>
      <c r="J52" s="480"/>
      <c r="K52" s="480"/>
      <c r="L52" s="480"/>
      <c r="M52" s="480"/>
      <c r="N52" s="482"/>
      <c r="O52" s="275"/>
      <c r="P52" s="531" t="s">
        <v>23</v>
      </c>
      <c r="Q52" s="275"/>
      <c r="R52" s="275"/>
      <c r="S52" s="275"/>
      <c r="T52" s="275"/>
      <c r="U52" s="275"/>
      <c r="V52" s="275"/>
      <c r="W52" s="275"/>
      <c r="X52" s="275"/>
      <c r="Y52" s="275"/>
      <c r="Z52" s="275"/>
    </row>
    <row r="53" spans="1:26" ht="20.100000000000001" customHeight="1">
      <c r="A53" s="483" t="s">
        <v>140</v>
      </c>
      <c r="B53" s="480"/>
      <c r="C53" s="480"/>
      <c r="D53" s="480"/>
      <c r="E53" s="480"/>
      <c r="F53" s="480"/>
      <c r="G53" s="480"/>
      <c r="H53" s="480"/>
      <c r="I53" s="480"/>
      <c r="J53" s="480"/>
      <c r="K53" s="480"/>
      <c r="L53" s="480"/>
      <c r="M53" s="480"/>
      <c r="N53" s="482"/>
      <c r="O53" s="275"/>
      <c r="P53" s="532"/>
      <c r="Q53" s="275"/>
      <c r="R53" s="275"/>
      <c r="S53" s="275"/>
      <c r="T53" s="275"/>
      <c r="U53" s="275"/>
      <c r="V53" s="275"/>
      <c r="W53" s="275"/>
      <c r="X53" s="275"/>
      <c r="Y53" s="275"/>
      <c r="Z53" s="275"/>
    </row>
    <row r="54" spans="1:26" ht="20.100000000000001" customHeight="1">
      <c r="A54" s="483" t="s">
        <v>141</v>
      </c>
      <c r="B54" s="480"/>
      <c r="C54" s="480"/>
      <c r="D54" s="480"/>
      <c r="E54" s="480"/>
      <c r="F54" s="480"/>
      <c r="G54" s="480"/>
      <c r="H54" s="480"/>
      <c r="I54" s="480"/>
      <c r="J54" s="480"/>
      <c r="K54" s="480"/>
      <c r="L54" s="480"/>
      <c r="M54" s="480"/>
      <c r="N54" s="482"/>
      <c r="O54" s="275"/>
      <c r="P54" s="531" t="s">
        <v>24</v>
      </c>
      <c r="Q54" s="275"/>
      <c r="R54" s="275"/>
      <c r="S54" s="275"/>
      <c r="T54" s="275"/>
      <c r="U54" s="275"/>
      <c r="V54" s="275"/>
      <c r="W54" s="275"/>
      <c r="X54" s="275"/>
      <c r="Y54" s="275"/>
      <c r="Z54" s="275"/>
    </row>
    <row r="55" spans="1:26" ht="20.100000000000001" customHeight="1">
      <c r="A55" s="483" t="s">
        <v>142</v>
      </c>
      <c r="B55" s="480"/>
      <c r="C55" s="480"/>
      <c r="D55" s="480"/>
      <c r="E55" s="480"/>
      <c r="F55" s="480"/>
      <c r="G55" s="480"/>
      <c r="H55" s="480"/>
      <c r="I55" s="480"/>
      <c r="J55" s="480"/>
      <c r="K55" s="480"/>
      <c r="L55" s="480"/>
      <c r="M55" s="480"/>
      <c r="N55" s="482"/>
      <c r="O55" s="275"/>
      <c r="P55" s="532"/>
      <c r="Q55" s="275"/>
      <c r="R55" s="275"/>
      <c r="S55" s="275"/>
      <c r="T55" s="275"/>
      <c r="U55" s="275"/>
      <c r="V55" s="275"/>
      <c r="W55" s="275"/>
      <c r="X55" s="275"/>
      <c r="Y55" s="275"/>
      <c r="Z55" s="275"/>
    </row>
    <row r="56" spans="1:26" ht="20.100000000000001" customHeight="1">
      <c r="A56" s="483" t="s">
        <v>132</v>
      </c>
      <c r="B56" s="480"/>
      <c r="C56" s="480"/>
      <c r="D56" s="480"/>
      <c r="E56" s="480"/>
      <c r="F56" s="480"/>
      <c r="G56" s="480"/>
      <c r="H56" s="480"/>
      <c r="I56" s="480"/>
      <c r="J56" s="480"/>
      <c r="K56" s="480"/>
      <c r="L56" s="480"/>
      <c r="M56" s="480"/>
      <c r="N56" s="482"/>
      <c r="O56" s="275"/>
      <c r="P56" s="533" t="s">
        <v>25</v>
      </c>
      <c r="Q56" s="275"/>
      <c r="R56" s="275"/>
      <c r="S56" s="275"/>
      <c r="T56" s="275"/>
      <c r="U56" s="275"/>
      <c r="V56" s="275"/>
      <c r="W56" s="275"/>
      <c r="X56" s="275"/>
      <c r="Y56" s="275"/>
      <c r="Z56" s="275"/>
    </row>
    <row r="57" spans="1:26" ht="20.100000000000001" customHeight="1">
      <c r="A57" s="483" t="s">
        <v>130</v>
      </c>
      <c r="B57" s="480"/>
      <c r="C57" s="480"/>
      <c r="D57" s="480"/>
      <c r="E57" s="480"/>
      <c r="F57" s="480"/>
      <c r="G57" s="480"/>
      <c r="H57" s="480"/>
      <c r="I57" s="480"/>
      <c r="J57" s="480"/>
      <c r="K57" s="480"/>
      <c r="L57" s="480"/>
      <c r="M57" s="480"/>
      <c r="N57" s="482"/>
      <c r="O57" s="275"/>
      <c r="P57" s="532"/>
      <c r="Q57" s="275"/>
      <c r="R57" s="275"/>
      <c r="S57" s="275"/>
      <c r="T57" s="275"/>
      <c r="U57" s="275"/>
      <c r="V57" s="275"/>
      <c r="W57" s="275"/>
      <c r="X57" s="275"/>
      <c r="Y57" s="275"/>
      <c r="Z57" s="275"/>
    </row>
    <row r="58" spans="1:26" ht="20.100000000000001" customHeight="1">
      <c r="A58" s="483" t="s">
        <v>149</v>
      </c>
      <c r="B58" s="480"/>
      <c r="C58" s="480"/>
      <c r="D58" s="480"/>
      <c r="E58" s="480"/>
      <c r="F58" s="480"/>
      <c r="G58" s="480"/>
      <c r="H58" s="480"/>
      <c r="I58" s="480"/>
      <c r="J58" s="480"/>
      <c r="K58" s="480"/>
      <c r="L58" s="480"/>
      <c r="M58" s="480"/>
      <c r="N58" s="482"/>
      <c r="O58" s="275"/>
      <c r="P58" s="533" t="s">
        <v>27</v>
      </c>
      <c r="Q58" s="275"/>
      <c r="R58" s="275"/>
      <c r="S58" s="275"/>
      <c r="T58" s="275"/>
      <c r="U58" s="275"/>
      <c r="V58" s="275"/>
      <c r="W58" s="275"/>
      <c r="X58" s="275"/>
      <c r="Y58" s="275"/>
      <c r="Z58" s="275"/>
    </row>
    <row r="59" spans="1:26" ht="20.100000000000001" customHeight="1">
      <c r="A59" s="483" t="s">
        <v>148</v>
      </c>
      <c r="B59" s="480"/>
      <c r="C59" s="480"/>
      <c r="D59" s="480"/>
      <c r="E59" s="480"/>
      <c r="F59" s="480"/>
      <c r="G59" s="480"/>
      <c r="H59" s="480"/>
      <c r="I59" s="480"/>
      <c r="J59" s="480"/>
      <c r="K59" s="480"/>
      <c r="L59" s="480"/>
      <c r="M59" s="480"/>
      <c r="N59" s="482"/>
      <c r="O59" s="275"/>
      <c r="P59" s="532"/>
      <c r="Q59" s="275"/>
      <c r="R59" s="275"/>
      <c r="S59" s="275"/>
      <c r="T59" s="275"/>
      <c r="U59" s="275"/>
      <c r="V59" s="275"/>
      <c r="W59" s="275"/>
      <c r="X59" s="275"/>
      <c r="Y59" s="275"/>
      <c r="Z59" s="275"/>
    </row>
    <row r="60" spans="1:26" ht="20.100000000000001" customHeight="1">
      <c r="A60" s="483" t="s">
        <v>147</v>
      </c>
      <c r="B60" s="480"/>
      <c r="C60" s="480"/>
      <c r="D60" s="480"/>
      <c r="E60" s="480"/>
      <c r="F60" s="480"/>
      <c r="G60" s="480"/>
      <c r="H60" s="480"/>
      <c r="I60" s="480"/>
      <c r="J60" s="480"/>
      <c r="K60" s="480"/>
      <c r="L60" s="480"/>
      <c r="M60" s="480"/>
      <c r="N60" s="482"/>
      <c r="O60" s="275"/>
      <c r="P60" s="533" t="s">
        <v>28</v>
      </c>
      <c r="Q60" s="275"/>
      <c r="R60" s="275"/>
      <c r="S60" s="275"/>
      <c r="T60" s="275"/>
      <c r="U60" s="275"/>
      <c r="V60" s="275"/>
      <c r="W60" s="275"/>
      <c r="X60" s="275"/>
      <c r="Y60" s="275"/>
      <c r="Z60" s="275"/>
    </row>
    <row r="61" spans="1:26" ht="20.100000000000001" customHeight="1">
      <c r="A61" s="483" t="s">
        <v>146</v>
      </c>
      <c r="B61" s="480"/>
      <c r="C61" s="480"/>
      <c r="D61" s="480"/>
      <c r="E61" s="480"/>
      <c r="F61" s="480"/>
      <c r="G61" s="480"/>
      <c r="H61" s="480"/>
      <c r="I61" s="480"/>
      <c r="J61" s="480"/>
      <c r="K61" s="480"/>
      <c r="L61" s="480"/>
      <c r="M61" s="480"/>
      <c r="N61" s="482"/>
      <c r="O61" s="275"/>
      <c r="P61" s="532"/>
      <c r="Q61" s="275"/>
      <c r="R61" s="275"/>
      <c r="S61" s="275"/>
      <c r="T61" s="275"/>
      <c r="U61" s="275"/>
      <c r="V61" s="275"/>
      <c r="W61" s="275"/>
      <c r="X61" s="275"/>
      <c r="Y61" s="275"/>
      <c r="Z61" s="275"/>
    </row>
    <row r="62" spans="1:26" ht="20.100000000000001" customHeight="1">
      <c r="A62" s="483" t="s">
        <v>143</v>
      </c>
      <c r="B62" s="480"/>
      <c r="C62" s="480"/>
      <c r="D62" s="480"/>
      <c r="E62" s="480"/>
      <c r="F62" s="480"/>
      <c r="G62" s="480"/>
      <c r="H62" s="480"/>
      <c r="I62" s="480"/>
      <c r="J62" s="480"/>
      <c r="K62" s="480"/>
      <c r="L62" s="480"/>
      <c r="M62" s="480"/>
      <c r="N62" s="482"/>
      <c r="O62" s="275"/>
      <c r="P62" s="533" t="s">
        <v>29</v>
      </c>
      <c r="Q62" s="275"/>
      <c r="R62" s="275"/>
      <c r="S62" s="275"/>
      <c r="T62" s="275"/>
      <c r="U62" s="275"/>
      <c r="V62" s="275"/>
      <c r="W62" s="275"/>
      <c r="X62" s="275"/>
      <c r="Y62" s="275"/>
      <c r="Z62" s="275"/>
    </row>
    <row r="63" spans="1:26" ht="20.100000000000001" customHeight="1" thickBot="1">
      <c r="A63" s="483" t="s">
        <v>131</v>
      </c>
      <c r="B63" s="486"/>
      <c r="C63" s="486"/>
      <c r="D63" s="486"/>
      <c r="E63" s="486"/>
      <c r="F63" s="486"/>
      <c r="G63" s="486"/>
      <c r="H63" s="486"/>
      <c r="I63" s="486"/>
      <c r="J63" s="486"/>
      <c r="K63" s="486"/>
      <c r="L63" s="486"/>
      <c r="M63" s="486"/>
      <c r="N63" s="487"/>
      <c r="O63" s="275"/>
      <c r="P63" s="532"/>
      <c r="Q63" s="275"/>
      <c r="R63" s="275"/>
      <c r="S63" s="275"/>
      <c r="T63" s="275"/>
      <c r="U63" s="275"/>
      <c r="V63" s="275"/>
      <c r="W63" s="275"/>
      <c r="X63" s="275"/>
      <c r="Y63" s="275"/>
      <c r="Z63" s="275"/>
    </row>
    <row r="64" spans="1:26" ht="20.100000000000001" customHeight="1">
      <c r="A64" s="488"/>
      <c r="B64" s="489"/>
      <c r="C64" s="489"/>
      <c r="D64" s="489"/>
      <c r="E64" s="490"/>
      <c r="F64" s="491"/>
      <c r="G64" s="491"/>
      <c r="H64" s="489"/>
      <c r="I64" s="492"/>
      <c r="J64" s="491"/>
      <c r="K64" s="493"/>
      <c r="L64" s="492"/>
      <c r="M64" s="489"/>
      <c r="N64" s="494"/>
      <c r="O64" s="275"/>
      <c r="P64" s="534" t="s">
        <v>26</v>
      </c>
      <c r="Q64" s="275"/>
      <c r="R64" s="275"/>
      <c r="S64" s="275"/>
      <c r="T64" s="275"/>
      <c r="U64" s="275"/>
      <c r="V64" s="275"/>
      <c r="W64" s="275"/>
      <c r="X64" s="275"/>
      <c r="Y64" s="275"/>
      <c r="Z64" s="275"/>
    </row>
    <row r="65" spans="1:26" ht="20.100000000000001" customHeight="1">
      <c r="A65" s="483" t="s">
        <v>151</v>
      </c>
      <c r="B65" s="495"/>
      <c r="C65" s="495"/>
      <c r="D65" s="495"/>
      <c r="E65" s="496"/>
      <c r="F65" s="497" t="s">
        <v>44</v>
      </c>
      <c r="G65" s="498"/>
      <c r="H65" s="495"/>
      <c r="I65" s="499"/>
      <c r="J65" s="498"/>
      <c r="K65" s="500"/>
      <c r="L65" s="499"/>
      <c r="M65" s="495"/>
      <c r="N65" s="501"/>
      <c r="O65" s="275"/>
      <c r="P65" s="532"/>
      <c r="Q65" s="275"/>
      <c r="R65" s="275"/>
      <c r="S65" s="275"/>
      <c r="T65" s="275"/>
      <c r="U65" s="275"/>
      <c r="V65" s="275"/>
      <c r="W65" s="275"/>
      <c r="X65" s="275"/>
      <c r="Y65" s="275"/>
      <c r="Z65" s="275"/>
    </row>
    <row r="66" spans="1:26" ht="20.100000000000001" customHeight="1">
      <c r="A66" s="479"/>
      <c r="B66" s="495"/>
      <c r="C66" s="495"/>
      <c r="D66" s="495"/>
      <c r="E66" s="496"/>
      <c r="F66" s="498"/>
      <c r="G66" s="498"/>
      <c r="H66" s="495"/>
      <c r="I66" s="499"/>
      <c r="J66" s="498"/>
      <c r="K66" s="500"/>
      <c r="L66" s="499"/>
      <c r="M66" s="495"/>
      <c r="N66" s="501"/>
      <c r="O66" s="275"/>
      <c r="P66" s="533" t="s">
        <v>31</v>
      </c>
      <c r="Q66" s="275"/>
      <c r="R66" s="275"/>
      <c r="S66" s="275"/>
      <c r="T66" s="275"/>
      <c r="U66" s="275"/>
      <c r="V66" s="275"/>
      <c r="W66" s="275"/>
      <c r="X66" s="275"/>
      <c r="Y66" s="275"/>
      <c r="Z66" s="275"/>
    </row>
    <row r="67" spans="1:26" ht="20.100000000000001" customHeight="1">
      <c r="A67" s="483" t="s">
        <v>116</v>
      </c>
      <c r="B67" s="495"/>
      <c r="C67" s="495"/>
      <c r="D67" s="495"/>
      <c r="E67" s="495"/>
      <c r="F67" s="496"/>
      <c r="G67" s="495"/>
      <c r="H67" s="499"/>
      <c r="I67" s="499"/>
      <c r="J67" s="498"/>
      <c r="K67" s="500"/>
      <c r="L67" s="499"/>
      <c r="M67" s="495"/>
      <c r="N67" s="501"/>
      <c r="O67" s="275"/>
      <c r="P67" s="532"/>
      <c r="Q67" s="275"/>
      <c r="R67" s="275"/>
      <c r="S67" s="275"/>
      <c r="T67" s="275"/>
      <c r="U67" s="275"/>
      <c r="V67" s="275"/>
      <c r="W67" s="275"/>
      <c r="X67" s="275"/>
      <c r="Y67" s="275"/>
      <c r="Z67" s="275"/>
    </row>
    <row r="68" spans="1:26" ht="20.100000000000001" customHeight="1">
      <c r="A68" s="483" t="s">
        <v>115</v>
      </c>
      <c r="B68" s="480"/>
      <c r="C68" s="502"/>
      <c r="D68" s="502"/>
      <c r="E68" s="502"/>
      <c r="F68" s="502"/>
      <c r="G68" s="502"/>
      <c r="H68" s="502"/>
      <c r="I68" s="502"/>
      <c r="J68" s="502"/>
      <c r="K68" s="502"/>
      <c r="L68" s="502"/>
      <c r="M68" s="502"/>
      <c r="N68" s="503"/>
      <c r="O68" s="275"/>
      <c r="P68" s="533" t="s">
        <v>32</v>
      </c>
      <c r="Q68" s="275"/>
      <c r="R68" s="275"/>
      <c r="S68" s="275"/>
      <c r="T68" s="275"/>
      <c r="U68" s="275"/>
      <c r="V68" s="275"/>
      <c r="W68" s="275"/>
      <c r="X68" s="275"/>
      <c r="Y68" s="275"/>
      <c r="Z68" s="275"/>
    </row>
    <row r="69" spans="1:26" ht="20.100000000000001" customHeight="1">
      <c r="A69" s="504"/>
      <c r="B69" s="480"/>
      <c r="C69" s="480"/>
      <c r="D69" s="480"/>
      <c r="E69" s="480"/>
      <c r="F69" s="480"/>
      <c r="G69" s="480"/>
      <c r="H69" s="480"/>
      <c r="I69" s="480"/>
      <c r="J69" s="480"/>
      <c r="K69" s="480"/>
      <c r="L69" s="480"/>
      <c r="M69" s="480"/>
      <c r="N69" s="482"/>
      <c r="O69" s="275"/>
      <c r="P69" s="532"/>
      <c r="Q69" s="275"/>
      <c r="R69" s="275"/>
      <c r="S69" s="275"/>
      <c r="T69" s="275"/>
      <c r="U69" s="275"/>
      <c r="V69" s="275"/>
      <c r="W69" s="275"/>
      <c r="X69" s="275"/>
      <c r="Y69" s="275"/>
      <c r="Z69" s="275"/>
    </row>
    <row r="70" spans="1:26" ht="20.100000000000001" customHeight="1">
      <c r="A70" s="483" t="s">
        <v>117</v>
      </c>
      <c r="B70" s="480"/>
      <c r="C70" s="480"/>
      <c r="D70" s="480"/>
      <c r="E70" s="480"/>
      <c r="F70" s="480"/>
      <c r="G70" s="480"/>
      <c r="H70" s="480"/>
      <c r="I70" s="480"/>
      <c r="J70" s="480"/>
      <c r="K70" s="480"/>
      <c r="L70" s="480"/>
      <c r="M70" s="480"/>
      <c r="N70" s="482"/>
      <c r="O70" s="275"/>
      <c r="P70" s="533" t="s">
        <v>42</v>
      </c>
      <c r="Q70" s="275"/>
      <c r="R70" s="275"/>
      <c r="S70" s="275"/>
      <c r="T70" s="275"/>
      <c r="U70" s="275"/>
      <c r="V70" s="275"/>
      <c r="W70" s="275"/>
      <c r="X70" s="275"/>
      <c r="Y70" s="275"/>
      <c r="Z70" s="275"/>
    </row>
    <row r="71" spans="1:26" ht="20.100000000000001" customHeight="1">
      <c r="A71" s="483" t="s">
        <v>118</v>
      </c>
      <c r="B71" s="480"/>
      <c r="C71" s="480"/>
      <c r="D71" s="480"/>
      <c r="E71" s="480"/>
      <c r="F71" s="480"/>
      <c r="G71" s="480"/>
      <c r="H71" s="480"/>
      <c r="I71" s="480"/>
      <c r="J71" s="480"/>
      <c r="K71" s="480"/>
      <c r="L71" s="480"/>
      <c r="M71" s="480"/>
      <c r="N71" s="482"/>
      <c r="O71" s="275"/>
      <c r="P71" s="533" t="s">
        <v>43</v>
      </c>
      <c r="Q71" s="275"/>
      <c r="R71" s="275"/>
      <c r="S71" s="275"/>
      <c r="T71" s="275"/>
      <c r="U71" s="275"/>
      <c r="V71" s="275"/>
      <c r="W71" s="275"/>
      <c r="X71" s="275"/>
      <c r="Y71" s="275"/>
      <c r="Z71" s="275"/>
    </row>
    <row r="72" spans="1:26" ht="20.100000000000001" customHeight="1">
      <c r="A72" s="483" t="s">
        <v>119</v>
      </c>
      <c r="B72" s="480"/>
      <c r="C72" s="480"/>
      <c r="D72" s="480"/>
      <c r="E72" s="480"/>
      <c r="F72" s="480"/>
      <c r="G72" s="480"/>
      <c r="H72" s="480"/>
      <c r="I72" s="480"/>
      <c r="J72" s="480"/>
      <c r="K72" s="480"/>
      <c r="L72" s="480"/>
      <c r="M72" s="480"/>
      <c r="N72" s="482"/>
      <c r="O72" s="275"/>
      <c r="P72" s="532"/>
      <c r="Q72" s="275"/>
      <c r="R72" s="275"/>
      <c r="S72" s="275"/>
      <c r="T72" s="275"/>
      <c r="U72" s="275"/>
      <c r="V72" s="275"/>
      <c r="W72" s="275"/>
      <c r="X72" s="275"/>
      <c r="Y72" s="275"/>
      <c r="Z72" s="275"/>
    </row>
    <row r="73" spans="1:26" ht="20.100000000000001" customHeight="1">
      <c r="A73" s="504"/>
      <c r="B73" s="480"/>
      <c r="C73" s="480"/>
      <c r="D73" s="480"/>
      <c r="E73" s="480"/>
      <c r="F73" s="480"/>
      <c r="G73" s="480"/>
      <c r="H73" s="480"/>
      <c r="I73" s="480"/>
      <c r="J73" s="480"/>
      <c r="K73" s="480"/>
      <c r="L73" s="480"/>
      <c r="M73" s="480"/>
      <c r="N73" s="482"/>
      <c r="O73" s="275"/>
      <c r="P73" s="533" t="s">
        <v>44</v>
      </c>
      <c r="Q73" s="275"/>
      <c r="R73" s="275"/>
      <c r="S73" s="275"/>
      <c r="T73" s="275"/>
      <c r="U73" s="275"/>
      <c r="V73" s="275"/>
      <c r="W73" s="275"/>
      <c r="X73" s="275"/>
      <c r="Y73" s="275"/>
      <c r="Z73" s="275"/>
    </row>
    <row r="74" spans="1:26" ht="20.100000000000001" customHeight="1">
      <c r="A74" s="483" t="s">
        <v>120</v>
      </c>
      <c r="B74" s="480"/>
      <c r="C74" s="480"/>
      <c r="D74" s="480"/>
      <c r="E74" s="480"/>
      <c r="F74" s="480"/>
      <c r="G74" s="480"/>
      <c r="H74" s="480"/>
      <c r="I74" s="480"/>
      <c r="J74" s="480"/>
      <c r="K74" s="480"/>
      <c r="L74" s="480"/>
      <c r="M74" s="480"/>
      <c r="N74" s="482"/>
      <c r="O74" s="275"/>
      <c r="P74" s="532"/>
      <c r="Q74" s="275"/>
      <c r="R74" s="275"/>
      <c r="S74" s="275"/>
      <c r="T74" s="275"/>
      <c r="U74" s="275"/>
      <c r="V74" s="275"/>
      <c r="W74" s="275"/>
      <c r="X74" s="275"/>
      <c r="Y74" s="275"/>
      <c r="Z74" s="275"/>
    </row>
    <row r="75" spans="1:26" ht="20.100000000000001" customHeight="1">
      <c r="A75" s="483" t="s">
        <v>121</v>
      </c>
      <c r="B75" s="480"/>
      <c r="C75" s="480"/>
      <c r="D75" s="480"/>
      <c r="E75" s="480"/>
      <c r="F75" s="480"/>
      <c r="G75" s="480"/>
      <c r="H75" s="480"/>
      <c r="I75" s="480"/>
      <c r="J75" s="480"/>
      <c r="K75" s="480"/>
      <c r="L75" s="480"/>
      <c r="M75" s="480"/>
      <c r="N75" s="482"/>
      <c r="O75" s="275"/>
      <c r="P75" s="534"/>
      <c r="Q75" s="275"/>
      <c r="R75" s="275"/>
      <c r="S75" s="275"/>
      <c r="T75" s="275"/>
      <c r="U75" s="275"/>
      <c r="V75" s="275"/>
      <c r="W75" s="275"/>
      <c r="X75" s="275"/>
      <c r="Y75" s="275"/>
      <c r="Z75" s="275"/>
    </row>
    <row r="76" spans="1:26" ht="20.100000000000001" customHeight="1">
      <c r="A76" s="483" t="s">
        <v>122</v>
      </c>
      <c r="B76" s="480"/>
      <c r="C76" s="480"/>
      <c r="D76" s="480"/>
      <c r="E76" s="480"/>
      <c r="F76" s="480"/>
      <c r="G76" s="480"/>
      <c r="H76" s="480"/>
      <c r="I76" s="480"/>
      <c r="J76" s="480"/>
      <c r="K76" s="480"/>
      <c r="L76" s="480"/>
      <c r="M76" s="480"/>
      <c r="N76" s="482"/>
      <c r="O76" s="275"/>
      <c r="P76" s="532"/>
      <c r="Q76" s="275"/>
      <c r="R76" s="275"/>
      <c r="S76" s="275"/>
      <c r="T76" s="275"/>
      <c r="U76" s="275"/>
      <c r="V76" s="275"/>
      <c r="W76" s="275"/>
      <c r="X76" s="275"/>
      <c r="Y76" s="275"/>
      <c r="Z76" s="275"/>
    </row>
    <row r="77" spans="1:26" ht="20.100000000000001" customHeight="1">
      <c r="A77" s="483" t="s">
        <v>123</v>
      </c>
      <c r="B77" s="480"/>
      <c r="C77" s="480"/>
      <c r="D77" s="480"/>
      <c r="E77" s="480"/>
      <c r="F77" s="480"/>
      <c r="G77" s="480"/>
      <c r="H77" s="480"/>
      <c r="I77" s="480"/>
      <c r="J77" s="480"/>
      <c r="K77" s="480"/>
      <c r="L77" s="480"/>
      <c r="M77" s="480"/>
      <c r="N77" s="482"/>
      <c r="O77" s="275"/>
      <c r="P77" s="533" t="s">
        <v>133</v>
      </c>
      <c r="Q77" s="275"/>
      <c r="R77" s="275"/>
      <c r="S77" s="275"/>
      <c r="T77" s="275"/>
      <c r="U77" s="275"/>
      <c r="V77" s="275"/>
      <c r="W77" s="275"/>
      <c r="X77" s="275"/>
      <c r="Y77" s="275"/>
      <c r="Z77" s="275"/>
    </row>
    <row r="78" spans="1:26" ht="20.100000000000001" customHeight="1">
      <c r="A78" s="483" t="s">
        <v>124</v>
      </c>
      <c r="B78" s="480"/>
      <c r="C78" s="480"/>
      <c r="D78" s="480"/>
      <c r="E78" s="480"/>
      <c r="F78" s="480"/>
      <c r="G78" s="480"/>
      <c r="H78" s="480"/>
      <c r="I78" s="480"/>
      <c r="J78" s="480"/>
      <c r="K78" s="480"/>
      <c r="L78" s="480"/>
      <c r="M78" s="480"/>
      <c r="N78" s="482"/>
      <c r="O78" s="275"/>
      <c r="P78" s="532"/>
      <c r="Q78" s="275"/>
      <c r="R78" s="275"/>
      <c r="S78" s="275"/>
      <c r="T78" s="275"/>
      <c r="U78" s="275"/>
      <c r="V78" s="275"/>
      <c r="W78" s="275"/>
      <c r="X78" s="275"/>
      <c r="Y78" s="275"/>
      <c r="Z78" s="275"/>
    </row>
    <row r="79" spans="1:26" ht="20.100000000000001" customHeight="1">
      <c r="A79" s="483"/>
      <c r="B79" s="480"/>
      <c r="C79" s="480"/>
      <c r="D79" s="480"/>
      <c r="E79" s="480"/>
      <c r="F79" s="480"/>
      <c r="G79" s="480"/>
      <c r="H79" s="480"/>
      <c r="I79" s="480"/>
      <c r="J79" s="480"/>
      <c r="K79" s="480"/>
      <c r="L79" s="480"/>
      <c r="M79" s="480"/>
      <c r="N79" s="482"/>
      <c r="O79" s="275"/>
      <c r="P79" s="533" t="s">
        <v>134</v>
      </c>
      <c r="Q79" s="275"/>
      <c r="R79" s="275"/>
      <c r="S79" s="275"/>
      <c r="T79" s="275"/>
      <c r="U79" s="275"/>
      <c r="V79" s="275"/>
      <c r="W79" s="275"/>
      <c r="X79" s="275"/>
      <c r="Y79" s="275"/>
      <c r="Z79" s="275"/>
    </row>
    <row r="80" spans="1:26" ht="20.100000000000001" customHeight="1">
      <c r="A80" s="483" t="s">
        <v>101</v>
      </c>
      <c r="B80" s="480"/>
      <c r="C80" s="480"/>
      <c r="D80" s="480"/>
      <c r="E80" s="480"/>
      <c r="F80" s="480"/>
      <c r="G80" s="480"/>
      <c r="H80" s="480"/>
      <c r="I80" s="480"/>
      <c r="J80" s="480"/>
      <c r="K80" s="480"/>
      <c r="L80" s="480"/>
      <c r="M80" s="480"/>
      <c r="N80" s="482"/>
      <c r="O80" s="275"/>
      <c r="P80" s="532"/>
      <c r="Q80" s="275"/>
      <c r="R80" s="275"/>
      <c r="S80" s="275"/>
      <c r="T80" s="275"/>
      <c r="U80" s="275"/>
      <c r="V80" s="275"/>
      <c r="W80" s="275"/>
      <c r="X80" s="275"/>
      <c r="Y80" s="275"/>
      <c r="Z80" s="275"/>
    </row>
    <row r="81" spans="1:26" ht="20.100000000000001" customHeight="1">
      <c r="A81" s="504"/>
      <c r="B81" s="480"/>
      <c r="C81" s="480"/>
      <c r="D81" s="480"/>
      <c r="E81" s="480"/>
      <c r="F81" s="480"/>
      <c r="G81" s="480"/>
      <c r="H81" s="480"/>
      <c r="I81" s="480"/>
      <c r="J81" s="480"/>
      <c r="K81" s="480"/>
      <c r="L81" s="480"/>
      <c r="M81" s="480"/>
      <c r="N81" s="482"/>
      <c r="O81" s="275"/>
      <c r="P81" s="533" t="s">
        <v>135</v>
      </c>
      <c r="Q81" s="275"/>
      <c r="R81" s="275"/>
      <c r="S81" s="275"/>
      <c r="T81" s="275"/>
      <c r="U81" s="275"/>
      <c r="V81" s="275"/>
      <c r="W81" s="275"/>
      <c r="X81" s="275"/>
      <c r="Y81" s="275"/>
      <c r="Z81" s="275"/>
    </row>
    <row r="82" spans="1:26" ht="20.100000000000001" customHeight="1">
      <c r="A82" s="483" t="s">
        <v>125</v>
      </c>
      <c r="B82" s="480"/>
      <c r="C82" s="480"/>
      <c r="D82" s="480"/>
      <c r="E82" s="480"/>
      <c r="F82" s="480"/>
      <c r="G82" s="480"/>
      <c r="H82" s="480"/>
      <c r="I82" s="480"/>
      <c r="J82" s="480"/>
      <c r="K82" s="480"/>
      <c r="L82" s="480"/>
      <c r="M82" s="480"/>
      <c r="N82" s="482"/>
      <c r="O82" s="275"/>
      <c r="P82" s="532"/>
      <c r="Q82" s="275"/>
      <c r="R82" s="275"/>
      <c r="S82" s="275"/>
      <c r="T82" s="275"/>
      <c r="U82" s="275"/>
      <c r="V82" s="275"/>
      <c r="W82" s="275"/>
      <c r="X82" s="275"/>
      <c r="Y82" s="275"/>
      <c r="Z82" s="275"/>
    </row>
    <row r="83" spans="1:26" ht="20.100000000000001" customHeight="1">
      <c r="A83" s="483" t="s">
        <v>126</v>
      </c>
      <c r="B83" s="480"/>
      <c r="C83" s="480"/>
      <c r="D83" s="480"/>
      <c r="E83" s="480"/>
      <c r="F83" s="480"/>
      <c r="G83" s="480"/>
      <c r="H83" s="480"/>
      <c r="I83" s="480"/>
      <c r="J83" s="480"/>
      <c r="K83" s="480"/>
      <c r="L83" s="480"/>
      <c r="M83" s="480"/>
      <c r="N83" s="482"/>
      <c r="O83" s="275"/>
      <c r="P83" s="533" t="s">
        <v>137</v>
      </c>
      <c r="Q83" s="275"/>
      <c r="R83" s="275"/>
      <c r="S83" s="275"/>
      <c r="T83" s="275"/>
      <c r="U83" s="275"/>
      <c r="V83" s="275"/>
      <c r="W83" s="275"/>
      <c r="X83" s="275"/>
      <c r="Y83" s="275"/>
      <c r="Z83" s="275"/>
    </row>
    <row r="84" spans="1:26" ht="20.100000000000001" customHeight="1">
      <c r="A84" s="483"/>
      <c r="B84" s="480"/>
      <c r="C84" s="480"/>
      <c r="D84" s="480"/>
      <c r="E84" s="480"/>
      <c r="F84" s="480"/>
      <c r="G84" s="480"/>
      <c r="H84" s="480"/>
      <c r="I84" s="480"/>
      <c r="J84" s="480"/>
      <c r="K84" s="480"/>
      <c r="L84" s="480"/>
      <c r="M84" s="480"/>
      <c r="N84" s="482"/>
      <c r="O84" s="275"/>
      <c r="P84" s="532"/>
      <c r="Q84" s="275"/>
      <c r="R84" s="275"/>
      <c r="S84" s="275"/>
      <c r="T84" s="275"/>
      <c r="U84" s="275"/>
      <c r="V84" s="275"/>
      <c r="W84" s="275"/>
      <c r="X84" s="275"/>
      <c r="Y84" s="275"/>
      <c r="Z84" s="275"/>
    </row>
    <row r="85" spans="1:26" ht="20.100000000000001" customHeight="1">
      <c r="A85" s="505" t="s">
        <v>127</v>
      </c>
      <c r="B85" s="480"/>
      <c r="C85" s="480"/>
      <c r="D85" s="480"/>
      <c r="E85" s="480"/>
      <c r="F85" s="480"/>
      <c r="G85" s="480"/>
      <c r="H85" s="480"/>
      <c r="I85" s="480"/>
      <c r="J85" s="480"/>
      <c r="K85" s="480"/>
      <c r="L85" s="480"/>
      <c r="M85" s="480"/>
      <c r="N85" s="482"/>
      <c r="O85" s="275"/>
      <c r="P85" s="533" t="s">
        <v>210</v>
      </c>
      <c r="Q85" s="275"/>
      <c r="R85" s="275"/>
      <c r="S85" s="275"/>
      <c r="T85" s="275"/>
      <c r="U85" s="275"/>
      <c r="V85" s="275"/>
      <c r="W85" s="275"/>
      <c r="X85" s="275"/>
      <c r="Y85" s="275"/>
      <c r="Z85" s="275"/>
    </row>
    <row r="86" spans="1:26" ht="20.100000000000001" customHeight="1">
      <c r="A86" s="504"/>
      <c r="B86" s="480"/>
      <c r="C86" s="480"/>
      <c r="D86" s="480"/>
      <c r="E86" s="480"/>
      <c r="F86" s="480"/>
      <c r="G86" s="480"/>
      <c r="H86" s="480"/>
      <c r="I86" s="480"/>
      <c r="J86" s="480"/>
      <c r="K86" s="480"/>
      <c r="L86" s="480"/>
      <c r="M86" s="480"/>
      <c r="N86" s="482"/>
      <c r="O86" s="275"/>
      <c r="P86" s="532"/>
      <c r="Q86" s="275"/>
      <c r="R86" s="275"/>
      <c r="S86" s="275"/>
      <c r="T86" s="275"/>
      <c r="U86" s="275"/>
      <c r="V86" s="275"/>
      <c r="W86" s="275"/>
      <c r="X86" s="275"/>
      <c r="Y86" s="275"/>
      <c r="Z86" s="275"/>
    </row>
    <row r="87" spans="1:26" ht="20.100000000000001" customHeight="1">
      <c r="A87" s="504" t="s">
        <v>152</v>
      </c>
      <c r="B87" s="480"/>
      <c r="C87" s="480"/>
      <c r="D87" s="480"/>
      <c r="E87" s="480"/>
      <c r="F87" s="506" t="s">
        <v>43</v>
      </c>
      <c r="G87" s="480"/>
      <c r="H87" s="480"/>
      <c r="I87" s="480"/>
      <c r="J87" s="480"/>
      <c r="K87" s="480"/>
      <c r="L87" s="480"/>
      <c r="M87" s="480"/>
      <c r="N87" s="482"/>
      <c r="O87" s="275"/>
      <c r="P87" s="533" t="s">
        <v>211</v>
      </c>
      <c r="Q87" s="275"/>
      <c r="R87" s="275"/>
      <c r="S87" s="275"/>
      <c r="T87" s="275"/>
      <c r="U87" s="275"/>
      <c r="V87" s="275"/>
      <c r="W87" s="275"/>
      <c r="X87" s="275"/>
      <c r="Y87" s="275"/>
      <c r="Z87" s="275"/>
    </row>
    <row r="88" spans="1:26" ht="20.100000000000001" customHeight="1">
      <c r="A88" s="504"/>
      <c r="B88" s="480"/>
      <c r="C88" s="480"/>
      <c r="D88" s="480"/>
      <c r="E88" s="480"/>
      <c r="F88" s="480"/>
      <c r="G88" s="480"/>
      <c r="H88" s="480"/>
      <c r="I88" s="480"/>
      <c r="J88" s="480"/>
      <c r="K88" s="480"/>
      <c r="L88" s="480"/>
      <c r="M88" s="480"/>
      <c r="N88" s="482"/>
      <c r="O88" s="275"/>
      <c r="P88" s="532"/>
      <c r="Q88" s="275"/>
      <c r="R88" s="275"/>
      <c r="S88" s="275"/>
      <c r="T88" s="275"/>
      <c r="U88" s="275"/>
      <c r="V88" s="275"/>
      <c r="W88" s="275"/>
      <c r="X88" s="275"/>
      <c r="Y88" s="275"/>
      <c r="Z88" s="275"/>
    </row>
    <row r="89" spans="1:26" ht="20.100000000000001" customHeight="1">
      <c r="A89" s="504" t="s">
        <v>232</v>
      </c>
      <c r="B89" s="480"/>
      <c r="C89" s="480"/>
      <c r="D89" s="480"/>
      <c r="E89" s="480"/>
      <c r="F89" s="480"/>
      <c r="G89" s="480"/>
      <c r="H89" s="480"/>
      <c r="I89" s="480"/>
      <c r="J89" s="480"/>
      <c r="K89" s="480"/>
      <c r="L89" s="480"/>
      <c r="M89" s="480"/>
      <c r="N89" s="482"/>
      <c r="O89" s="275"/>
      <c r="P89" s="533" t="s">
        <v>212</v>
      </c>
      <c r="Q89" s="275"/>
      <c r="R89" s="275"/>
      <c r="S89" s="275"/>
      <c r="T89" s="275"/>
      <c r="U89" s="275"/>
      <c r="V89" s="275"/>
      <c r="W89" s="275"/>
      <c r="X89" s="275"/>
      <c r="Y89" s="275"/>
      <c r="Z89" s="275"/>
    </row>
    <row r="90" spans="1:26" ht="20.100000000000001" customHeight="1">
      <c r="A90" s="479" t="s">
        <v>322</v>
      </c>
      <c r="B90" s="498"/>
      <c r="C90" s="498"/>
      <c r="D90" s="495"/>
      <c r="E90" s="507"/>
      <c r="F90" s="495"/>
      <c r="G90" s="480"/>
      <c r="H90" s="495"/>
      <c r="I90" s="480"/>
      <c r="J90" s="480"/>
      <c r="K90" s="480"/>
      <c r="L90" s="480"/>
      <c r="M90" s="480"/>
      <c r="N90" s="482"/>
      <c r="O90" s="275"/>
      <c r="P90" s="532"/>
      <c r="Q90" s="275"/>
      <c r="R90" s="275"/>
      <c r="S90" s="275"/>
      <c r="T90" s="275"/>
      <c r="U90" s="275"/>
      <c r="V90" s="275"/>
      <c r="W90" s="275"/>
      <c r="X90" s="275"/>
      <c r="Y90" s="275"/>
      <c r="Z90" s="275"/>
    </row>
    <row r="91" spans="1:26" ht="20.100000000000001" customHeight="1">
      <c r="A91" s="479"/>
      <c r="B91" s="498"/>
      <c r="C91" s="498"/>
      <c r="D91" s="495"/>
      <c r="E91" s="507"/>
      <c r="F91" s="495"/>
      <c r="G91" s="480"/>
      <c r="H91" s="495"/>
      <c r="I91" s="480"/>
      <c r="J91" s="480"/>
      <c r="K91" s="480"/>
      <c r="L91" s="480"/>
      <c r="M91" s="480"/>
      <c r="N91" s="482"/>
      <c r="O91" s="275"/>
      <c r="P91" s="533" t="s">
        <v>224</v>
      </c>
      <c r="Q91" s="275"/>
      <c r="R91" s="275"/>
      <c r="S91" s="275"/>
      <c r="T91" s="275"/>
      <c r="U91" s="275"/>
      <c r="V91" s="275"/>
      <c r="W91" s="275"/>
      <c r="X91" s="275"/>
      <c r="Y91" s="275"/>
      <c r="Z91" s="275"/>
    </row>
    <row r="92" spans="1:26" ht="20.100000000000001" customHeight="1">
      <c r="A92" s="479"/>
      <c r="B92" s="498"/>
      <c r="C92" s="498"/>
      <c r="D92" s="495"/>
      <c r="E92" s="506" t="s">
        <v>332</v>
      </c>
      <c r="F92" s="508"/>
      <c r="G92" s="480"/>
      <c r="H92" s="506" t="s">
        <v>343</v>
      </c>
      <c r="I92" s="480"/>
      <c r="J92" s="480"/>
      <c r="K92" s="480"/>
      <c r="L92" s="480"/>
      <c r="M92" s="480"/>
      <c r="N92" s="482"/>
      <c r="O92" s="275"/>
      <c r="P92" s="532"/>
      <c r="Q92" s="275"/>
      <c r="R92" s="275"/>
      <c r="S92" s="275"/>
      <c r="T92" s="275"/>
      <c r="U92" s="275"/>
      <c r="V92" s="275"/>
      <c r="W92" s="275"/>
      <c r="X92" s="275"/>
      <c r="Y92" s="275"/>
      <c r="Z92" s="275"/>
    </row>
    <row r="93" spans="1:26" ht="20.100000000000001" customHeight="1">
      <c r="A93" s="509" t="s">
        <v>341</v>
      </c>
      <c r="B93" s="498"/>
      <c r="C93" s="498"/>
      <c r="D93" s="495"/>
      <c r="E93" s="507"/>
      <c r="F93" s="506"/>
      <c r="G93" s="480"/>
      <c r="H93" s="495"/>
      <c r="I93" s="480"/>
      <c r="J93" s="480"/>
      <c r="K93" s="480"/>
      <c r="L93" s="480"/>
      <c r="M93" s="480"/>
      <c r="N93" s="482"/>
      <c r="O93" s="275"/>
      <c r="P93" s="533" t="s">
        <v>225</v>
      </c>
      <c r="Q93" s="275"/>
      <c r="R93" s="275"/>
      <c r="S93" s="275"/>
      <c r="T93" s="275"/>
      <c r="U93" s="275"/>
      <c r="V93" s="275"/>
      <c r="W93" s="275"/>
      <c r="X93" s="275"/>
      <c r="Y93" s="275"/>
      <c r="Z93" s="275"/>
    </row>
    <row r="94" spans="1:26" ht="20.100000000000001" customHeight="1">
      <c r="A94" s="508"/>
      <c r="B94" s="498"/>
      <c r="C94" s="498"/>
      <c r="D94" s="495"/>
      <c r="E94" s="507"/>
      <c r="F94" s="506"/>
      <c r="G94" s="480"/>
      <c r="H94" s="495"/>
      <c r="I94" s="480"/>
      <c r="J94" s="480"/>
      <c r="K94" s="480"/>
      <c r="L94" s="480"/>
      <c r="M94" s="480"/>
      <c r="N94" s="482"/>
      <c r="O94" s="275"/>
      <c r="P94" s="532"/>
      <c r="Q94" s="275"/>
      <c r="R94" s="275"/>
      <c r="S94" s="275"/>
      <c r="T94" s="275"/>
      <c r="U94" s="275"/>
      <c r="V94" s="275"/>
      <c r="W94" s="275"/>
      <c r="X94" s="275"/>
      <c r="Y94" s="275"/>
      <c r="Z94" s="275"/>
    </row>
    <row r="95" spans="1:26" ht="20.100000000000001" customHeight="1">
      <c r="A95" s="510" t="s">
        <v>333</v>
      </c>
      <c r="B95" s="498"/>
      <c r="C95" s="498"/>
      <c r="D95" s="495"/>
      <c r="E95" s="507"/>
      <c r="F95" s="506"/>
      <c r="G95" s="480"/>
      <c r="H95" s="495"/>
      <c r="I95" s="480"/>
      <c r="J95" s="480"/>
      <c r="K95" s="480"/>
      <c r="L95" s="480"/>
      <c r="M95" s="480"/>
      <c r="N95" s="482"/>
      <c r="O95" s="393"/>
      <c r="P95" s="533" t="s">
        <v>226</v>
      </c>
      <c r="Q95" s="275"/>
      <c r="R95" s="275"/>
      <c r="S95" s="275"/>
      <c r="T95" s="275"/>
      <c r="U95" s="275"/>
      <c r="V95" s="275"/>
      <c r="W95" s="275"/>
      <c r="X95" s="275"/>
      <c r="Y95" s="275"/>
      <c r="Z95" s="275"/>
    </row>
    <row r="96" spans="1:26" ht="20.100000000000001" customHeight="1">
      <c r="A96" s="510" t="s">
        <v>334</v>
      </c>
      <c r="B96" s="498"/>
      <c r="C96" s="498"/>
      <c r="D96" s="495"/>
      <c r="E96" s="507"/>
      <c r="F96" s="506"/>
      <c r="G96" s="480"/>
      <c r="H96" s="495"/>
      <c r="I96" s="480"/>
      <c r="J96" s="480"/>
      <c r="K96" s="480"/>
      <c r="L96" s="480"/>
      <c r="M96" s="480"/>
      <c r="N96" s="482"/>
      <c r="O96" s="393"/>
      <c r="P96" s="532"/>
      <c r="Q96" s="275"/>
      <c r="R96" s="275"/>
      <c r="S96" s="275"/>
      <c r="T96" s="275"/>
      <c r="U96" s="275"/>
      <c r="V96" s="275"/>
      <c r="W96" s="275"/>
      <c r="X96" s="275"/>
      <c r="Y96" s="275"/>
      <c r="Z96" s="275"/>
    </row>
    <row r="97" spans="1:27" ht="20.100000000000001" customHeight="1">
      <c r="A97" s="510" t="s">
        <v>335</v>
      </c>
      <c r="B97" s="498"/>
      <c r="C97" s="498"/>
      <c r="D97" s="495"/>
      <c r="E97" s="507"/>
      <c r="F97" s="506"/>
      <c r="G97" s="480"/>
      <c r="H97" s="495"/>
      <c r="I97" s="480"/>
      <c r="J97" s="480"/>
      <c r="K97" s="480"/>
      <c r="L97" s="480"/>
      <c r="M97" s="480"/>
      <c r="N97" s="482"/>
      <c r="O97" s="393"/>
      <c r="P97" s="533" t="s">
        <v>231</v>
      </c>
      <c r="Q97" s="275"/>
      <c r="R97" s="275"/>
      <c r="S97" s="275"/>
      <c r="T97" s="275"/>
      <c r="U97" s="275"/>
      <c r="V97" s="275"/>
      <c r="W97" s="275"/>
      <c r="X97" s="275"/>
      <c r="Y97" s="275"/>
      <c r="Z97" s="275"/>
    </row>
    <row r="98" spans="1:27" ht="20.100000000000001" customHeight="1">
      <c r="A98" s="510" t="s">
        <v>336</v>
      </c>
      <c r="B98" s="498"/>
      <c r="C98" s="498"/>
      <c r="D98" s="495"/>
      <c r="E98" s="507"/>
      <c r="F98" s="506"/>
      <c r="G98" s="480"/>
      <c r="H98" s="495"/>
      <c r="I98" s="480"/>
      <c r="J98" s="480"/>
      <c r="K98" s="480"/>
      <c r="L98" s="480"/>
      <c r="M98" s="480"/>
      <c r="N98" s="482"/>
      <c r="O98" s="393"/>
      <c r="P98" s="532"/>
      <c r="Q98" s="275"/>
      <c r="R98" s="275"/>
      <c r="S98" s="275"/>
      <c r="T98" s="275"/>
      <c r="U98" s="275"/>
      <c r="V98" s="275"/>
      <c r="W98" s="275"/>
      <c r="X98" s="275"/>
      <c r="Y98" s="275"/>
      <c r="Z98" s="275"/>
    </row>
    <row r="99" spans="1:27" ht="20.100000000000001" customHeight="1">
      <c r="A99" s="510"/>
      <c r="B99" s="498"/>
      <c r="C99" s="498"/>
      <c r="D99" s="495"/>
      <c r="E99" s="507"/>
      <c r="F99" s="506"/>
      <c r="G99" s="480"/>
      <c r="H99" s="495"/>
      <c r="I99" s="480"/>
      <c r="J99" s="480"/>
      <c r="K99" s="480"/>
      <c r="L99" s="480"/>
      <c r="M99" s="480"/>
      <c r="N99" s="482"/>
      <c r="O99" s="393"/>
      <c r="P99" s="533" t="s">
        <v>236</v>
      </c>
      <c r="Q99" s="275"/>
      <c r="R99" s="275"/>
      <c r="S99" s="275"/>
      <c r="T99" s="275"/>
      <c r="U99" s="275"/>
      <c r="V99" s="275"/>
      <c r="W99" s="275"/>
      <c r="X99" s="275"/>
      <c r="Y99" s="275"/>
      <c r="Z99" s="275"/>
    </row>
    <row r="100" spans="1:27" ht="20.100000000000001" customHeight="1">
      <c r="A100" s="510" t="s">
        <v>337</v>
      </c>
      <c r="B100" s="498"/>
      <c r="C100" s="498"/>
      <c r="D100" s="495"/>
      <c r="E100" s="507"/>
      <c r="F100" s="506"/>
      <c r="G100" s="480"/>
      <c r="H100" s="495"/>
      <c r="I100" s="480"/>
      <c r="J100" s="480"/>
      <c r="K100" s="480"/>
      <c r="L100" s="480"/>
      <c r="M100" s="480"/>
      <c r="N100" s="482"/>
      <c r="O100" s="393"/>
      <c r="P100" s="532"/>
      <c r="Q100" s="275"/>
      <c r="R100" s="275"/>
      <c r="S100" s="275"/>
      <c r="T100" s="275"/>
      <c r="U100" s="275"/>
      <c r="V100" s="275"/>
      <c r="W100" s="275"/>
      <c r="X100" s="275"/>
      <c r="Y100" s="275"/>
      <c r="Z100" s="275"/>
    </row>
    <row r="101" spans="1:27" ht="20.100000000000001" customHeight="1">
      <c r="A101" s="510" t="s">
        <v>338</v>
      </c>
      <c r="B101" s="498"/>
      <c r="C101" s="498"/>
      <c r="D101" s="495"/>
      <c r="E101" s="507"/>
      <c r="F101" s="506"/>
      <c r="G101" s="480"/>
      <c r="H101" s="495"/>
      <c r="I101" s="480"/>
      <c r="J101" s="480"/>
      <c r="K101" s="480"/>
      <c r="L101" s="480"/>
      <c r="M101" s="480"/>
      <c r="N101" s="482"/>
      <c r="O101" s="393"/>
      <c r="P101" s="533" t="s">
        <v>237</v>
      </c>
      <c r="Q101" s="275"/>
      <c r="R101" s="275"/>
      <c r="S101" s="275"/>
      <c r="T101" s="275"/>
      <c r="U101" s="275"/>
      <c r="V101" s="275"/>
      <c r="W101" s="275"/>
      <c r="X101" s="275"/>
      <c r="Y101" s="275"/>
      <c r="Z101" s="275"/>
    </row>
    <row r="102" spans="1:27" ht="20.100000000000001" customHeight="1">
      <c r="A102" s="510" t="s">
        <v>339</v>
      </c>
      <c r="B102" s="498"/>
      <c r="C102" s="498"/>
      <c r="D102" s="495"/>
      <c r="E102" s="507"/>
      <c r="F102" s="506"/>
      <c r="G102" s="480"/>
      <c r="H102" s="495"/>
      <c r="I102" s="480"/>
      <c r="J102" s="480"/>
      <c r="K102" s="480"/>
      <c r="L102" s="480"/>
      <c r="M102" s="480"/>
      <c r="N102" s="482"/>
      <c r="O102" s="393"/>
      <c r="P102" s="532"/>
      <c r="Q102" s="275"/>
      <c r="R102" s="275"/>
      <c r="S102" s="275"/>
      <c r="T102" s="275"/>
      <c r="U102" s="275"/>
      <c r="V102" s="275"/>
      <c r="W102" s="275"/>
      <c r="X102" s="275"/>
      <c r="Y102" s="275"/>
      <c r="Z102" s="275"/>
    </row>
    <row r="103" spans="1:27" ht="20.100000000000001" customHeight="1">
      <c r="A103" s="510" t="s">
        <v>340</v>
      </c>
      <c r="B103" s="498"/>
      <c r="C103" s="498"/>
      <c r="D103" s="495"/>
      <c r="E103" s="507"/>
      <c r="F103" s="506"/>
      <c r="G103" s="480"/>
      <c r="H103" s="495"/>
      <c r="I103" s="480"/>
      <c r="J103" s="480"/>
      <c r="K103" s="480"/>
      <c r="L103" s="480"/>
      <c r="M103" s="480"/>
      <c r="N103" s="482"/>
      <c r="O103" s="393"/>
      <c r="P103" s="533" t="s">
        <v>270</v>
      </c>
      <c r="Q103" s="275"/>
      <c r="R103" s="275"/>
      <c r="S103" s="275"/>
      <c r="T103" s="275"/>
      <c r="U103" s="275"/>
      <c r="V103" s="275"/>
      <c r="W103" s="275"/>
      <c r="X103" s="275"/>
      <c r="Y103" s="275"/>
      <c r="Z103" s="275"/>
    </row>
    <row r="104" spans="1:27" ht="20.100000000000001" customHeight="1">
      <c r="A104" s="510"/>
      <c r="B104" s="498"/>
      <c r="C104" s="498"/>
      <c r="D104" s="495"/>
      <c r="E104" s="507"/>
      <c r="F104" s="506"/>
      <c r="G104" s="480"/>
      <c r="H104" s="495"/>
      <c r="I104" s="480"/>
      <c r="J104" s="480"/>
      <c r="K104" s="480"/>
      <c r="L104" s="480"/>
      <c r="M104" s="480"/>
      <c r="N104" s="482"/>
      <c r="O104" s="393"/>
      <c r="P104" s="532"/>
      <c r="Q104" s="275"/>
      <c r="R104" s="275"/>
      <c r="S104" s="275"/>
      <c r="T104" s="275"/>
      <c r="U104" s="275"/>
      <c r="V104" s="275"/>
      <c r="W104" s="275"/>
      <c r="X104" s="275"/>
      <c r="Y104" s="275"/>
      <c r="Z104" s="275"/>
    </row>
    <row r="105" spans="1:27" ht="20.100000000000001" customHeight="1">
      <c r="A105" s="479"/>
      <c r="B105" s="498"/>
      <c r="C105" s="498"/>
      <c r="D105" s="495"/>
      <c r="E105" s="507"/>
      <c r="F105" s="495"/>
      <c r="G105" s="480"/>
      <c r="H105" s="495"/>
      <c r="I105" s="480"/>
      <c r="J105" s="480"/>
      <c r="K105" s="480"/>
      <c r="L105" s="480"/>
      <c r="M105" s="480"/>
      <c r="N105" s="482"/>
      <c r="O105" s="393"/>
      <c r="P105" s="533" t="s">
        <v>309</v>
      </c>
      <c r="Q105" s="275"/>
      <c r="R105" s="275"/>
      <c r="S105" s="275"/>
      <c r="T105" s="275"/>
      <c r="U105" s="275"/>
      <c r="V105" s="275"/>
      <c r="W105" s="275"/>
      <c r="X105" s="275"/>
      <c r="Y105" s="275"/>
      <c r="Z105" s="275"/>
    </row>
    <row r="106" spans="1:27" ht="20.100000000000001" customHeight="1">
      <c r="A106" s="479"/>
      <c r="B106" s="498"/>
      <c r="C106" s="498"/>
      <c r="D106" s="495"/>
      <c r="E106" s="507"/>
      <c r="F106" s="495"/>
      <c r="G106" s="480"/>
      <c r="H106" s="495"/>
      <c r="I106" s="480"/>
      <c r="J106" s="480"/>
      <c r="K106" s="480"/>
      <c r="L106" s="480"/>
      <c r="M106" s="480"/>
      <c r="N106" s="482"/>
      <c r="O106" s="393"/>
      <c r="P106" s="532"/>
      <c r="Q106" s="275"/>
      <c r="R106" s="275"/>
      <c r="S106" s="275"/>
      <c r="T106" s="275"/>
      <c r="U106" s="275"/>
      <c r="V106" s="275"/>
      <c r="W106" s="275"/>
      <c r="X106" s="275"/>
      <c r="Y106" s="275"/>
      <c r="Z106" s="275"/>
    </row>
    <row r="107" spans="1:27" ht="20.100000000000001" customHeight="1">
      <c r="A107" s="479"/>
      <c r="B107" s="498"/>
      <c r="C107" s="498"/>
      <c r="D107" s="495"/>
      <c r="E107" s="507"/>
      <c r="F107" s="495"/>
      <c r="G107" s="480"/>
      <c r="H107" s="495"/>
      <c r="I107" s="480"/>
      <c r="J107" s="480"/>
      <c r="K107" s="480"/>
      <c r="L107" s="480"/>
      <c r="M107" s="480"/>
      <c r="N107" s="482"/>
      <c r="O107" s="393"/>
      <c r="P107" s="533" t="s">
        <v>346</v>
      </c>
      <c r="Q107" s="275"/>
      <c r="R107" s="275"/>
      <c r="S107" s="275"/>
      <c r="T107" s="275"/>
      <c r="U107" s="275"/>
      <c r="V107" s="275"/>
      <c r="W107" s="275"/>
      <c r="X107" s="275"/>
      <c r="Y107" s="275"/>
      <c r="Z107" s="275"/>
    </row>
    <row r="108" spans="1:27" ht="20.100000000000001" customHeight="1">
      <c r="A108" s="479"/>
      <c r="B108" s="498"/>
      <c r="C108" s="498"/>
      <c r="D108" s="495"/>
      <c r="E108" s="507"/>
      <c r="F108" s="495"/>
      <c r="G108" s="480"/>
      <c r="H108" s="495"/>
      <c r="I108" s="480"/>
      <c r="J108" s="480"/>
      <c r="K108" s="480"/>
      <c r="L108" s="480"/>
      <c r="M108" s="480"/>
      <c r="N108" s="482"/>
      <c r="O108" s="393"/>
      <c r="P108" s="532"/>
      <c r="Q108" s="275"/>
      <c r="R108" s="275"/>
      <c r="S108" s="275"/>
      <c r="T108" s="275"/>
      <c r="U108" s="275"/>
      <c r="V108" s="275"/>
      <c r="W108" s="275"/>
      <c r="X108" s="275"/>
      <c r="Y108" s="275"/>
      <c r="Z108" s="275"/>
      <c r="AA108" s="394"/>
    </row>
    <row r="109" spans="1:27" ht="20.100000000000001" customHeight="1">
      <c r="A109" s="479"/>
      <c r="B109" s="498"/>
      <c r="C109" s="498"/>
      <c r="D109" s="495"/>
      <c r="E109" s="507"/>
      <c r="F109" s="495"/>
      <c r="G109" s="495"/>
      <c r="H109" s="495"/>
      <c r="I109" s="480"/>
      <c r="J109" s="480"/>
      <c r="K109" s="480"/>
      <c r="L109" s="480"/>
      <c r="M109" s="480"/>
      <c r="N109" s="482"/>
      <c r="O109" s="393"/>
      <c r="P109" s="533" t="s">
        <v>345</v>
      </c>
      <c r="Q109" s="275"/>
      <c r="R109" s="275"/>
      <c r="S109" s="275"/>
      <c r="T109" s="275"/>
      <c r="U109" s="275"/>
      <c r="V109" s="275"/>
      <c r="W109" s="275"/>
      <c r="X109" s="275"/>
      <c r="Y109" s="275"/>
      <c r="Z109" s="275"/>
      <c r="AA109" s="394"/>
    </row>
    <row r="110" spans="1:27" ht="20.100000000000001" customHeight="1" thickBot="1">
      <c r="A110" s="511"/>
      <c r="B110" s="486"/>
      <c r="C110" s="512"/>
      <c r="D110" s="513"/>
      <c r="E110" s="514"/>
      <c r="F110" s="513"/>
      <c r="G110" s="513"/>
      <c r="H110" s="513"/>
      <c r="I110" s="486"/>
      <c r="J110" s="486"/>
      <c r="K110" s="486"/>
      <c r="L110" s="486"/>
      <c r="M110" s="515"/>
      <c r="N110" s="516"/>
      <c r="O110" s="275"/>
      <c r="P110" s="532"/>
      <c r="Q110" s="275"/>
      <c r="R110" s="275"/>
      <c r="S110" s="275"/>
      <c r="T110" s="275"/>
      <c r="U110" s="275"/>
      <c r="V110" s="275"/>
      <c r="W110" s="275"/>
      <c r="X110" s="275"/>
      <c r="Y110" s="275"/>
      <c r="Z110" s="275"/>
    </row>
    <row r="111" spans="1:27" ht="20.100000000000001" customHeight="1">
      <c r="A111" s="517"/>
      <c r="B111" s="517"/>
      <c r="C111" s="518"/>
      <c r="D111" s="517"/>
      <c r="E111" s="519"/>
      <c r="F111" s="517"/>
      <c r="G111" s="517"/>
      <c r="H111" s="517"/>
      <c r="I111" s="517"/>
      <c r="J111" s="517"/>
      <c r="K111" s="517"/>
      <c r="L111" s="517"/>
      <c r="M111" s="517"/>
      <c r="N111" s="517"/>
      <c r="O111" s="275"/>
      <c r="P111" s="532"/>
      <c r="Q111" s="275"/>
      <c r="R111" s="275"/>
      <c r="S111" s="275"/>
      <c r="T111" s="275"/>
      <c r="U111" s="275"/>
      <c r="V111" s="275"/>
      <c r="W111" s="275"/>
      <c r="X111" s="275"/>
      <c r="Y111" s="275"/>
      <c r="Z111" s="275"/>
    </row>
    <row r="112" spans="1:27" ht="20.100000000000001" customHeight="1">
      <c r="A112" s="517" t="s">
        <v>191</v>
      </c>
      <c r="B112" s="498" t="str">
        <f>+A118</f>
        <v>Sodium</v>
      </c>
      <c r="C112" s="520"/>
      <c r="D112" s="518" t="s">
        <v>183</v>
      </c>
      <c r="E112" s="498" t="str">
        <f>+A120</f>
        <v>Chlorine</v>
      </c>
      <c r="F112" s="517" t="s">
        <v>184</v>
      </c>
      <c r="G112" s="518">
        <f>+H38</f>
        <v>730</v>
      </c>
      <c r="H112" s="517" t="s">
        <v>185</v>
      </c>
      <c r="I112" s="517"/>
      <c r="J112" s="517"/>
      <c r="K112" s="517"/>
      <c r="L112" s="517"/>
      <c r="M112" s="517"/>
      <c r="N112" s="517"/>
      <c r="O112" s="275"/>
      <c r="P112" s="532"/>
      <c r="Q112" s="275"/>
      <c r="R112" s="275"/>
      <c r="S112" s="275"/>
      <c r="T112" s="275"/>
      <c r="U112" s="275"/>
      <c r="V112" s="275"/>
      <c r="W112" s="275"/>
      <c r="X112" s="275"/>
      <c r="Y112" s="275"/>
      <c r="Z112" s="275"/>
    </row>
    <row r="113" spans="1:27" ht="20.100000000000001" customHeight="1">
      <c r="A113" s="517" t="s">
        <v>189</v>
      </c>
      <c r="B113" s="517"/>
      <c r="C113" s="498">
        <f>+H38/1000</f>
        <v>0.73</v>
      </c>
      <c r="D113" s="499" t="s">
        <v>176</v>
      </c>
      <c r="E113" s="517" t="s">
        <v>187</v>
      </c>
      <c r="F113" s="520"/>
      <c r="G113" s="518">
        <f>+L38</f>
        <v>1</v>
      </c>
      <c r="H113" s="517" t="s">
        <v>188</v>
      </c>
      <c r="I113" s="517"/>
      <c r="J113" s="517"/>
      <c r="K113" s="517"/>
      <c r="L113" s="517"/>
      <c r="M113" s="517"/>
      <c r="N113" s="517"/>
      <c r="O113" s="393"/>
      <c r="P113" s="532"/>
      <c r="Q113" s="275"/>
      <c r="R113" s="275"/>
      <c r="S113" s="275"/>
      <c r="T113" s="275"/>
      <c r="U113" s="275"/>
      <c r="V113" s="275"/>
      <c r="W113" s="275"/>
      <c r="X113" s="275"/>
      <c r="Y113" s="275"/>
      <c r="Z113" s="275"/>
      <c r="AA113" s="394"/>
    </row>
    <row r="114" spans="1:27" ht="20.100000000000001" customHeight="1">
      <c r="A114" s="498" t="str">
        <f>+H39</f>
        <v>Sodium Chloride</v>
      </c>
      <c r="B114" s="518"/>
      <c r="C114" s="518" t="s">
        <v>195</v>
      </c>
      <c r="D114" s="518" t="s">
        <v>208</v>
      </c>
      <c r="E114" s="518" t="s">
        <v>209</v>
      </c>
      <c r="F114" s="498"/>
      <c r="G114" s="498"/>
      <c r="H114" s="498"/>
      <c r="I114" s="498" t="s">
        <v>209</v>
      </c>
      <c r="J114" s="498"/>
      <c r="K114" s="498"/>
      <c r="L114" s="498" t="s">
        <v>110</v>
      </c>
      <c r="M114" s="498" t="s">
        <v>173</v>
      </c>
      <c r="N114" s="517"/>
      <c r="O114" s="393"/>
      <c r="P114" s="532"/>
      <c r="Q114" s="275"/>
      <c r="R114" s="275"/>
      <c r="S114" s="275"/>
      <c r="T114" s="275"/>
      <c r="U114" s="275"/>
      <c r="V114" s="275"/>
      <c r="W114" s="275"/>
      <c r="X114" s="275"/>
      <c r="Y114" s="275"/>
      <c r="Z114" s="275"/>
      <c r="AA114" s="394"/>
    </row>
    <row r="115" spans="1:27" ht="20.100000000000001" customHeight="1">
      <c r="A115" s="518" t="str">
        <f>VLOOKUP(A114,B115:N116,1)</f>
        <v>Sodium Chloride</v>
      </c>
      <c r="B115" s="517" t="s">
        <v>182</v>
      </c>
      <c r="C115" s="498" t="s">
        <v>174</v>
      </c>
      <c r="D115" s="498">
        <f>+D34</f>
        <v>55.847000000000001</v>
      </c>
      <c r="E115" s="521">
        <f>+K34</f>
        <v>162.20600000000002</v>
      </c>
      <c r="F115" s="496" t="s">
        <v>180</v>
      </c>
      <c r="G115" s="498">
        <f>+D34</f>
        <v>55.847000000000001</v>
      </c>
      <c r="H115" s="496" t="s">
        <v>179</v>
      </c>
      <c r="I115" s="498">
        <f>D32*3</f>
        <v>106.35900000000001</v>
      </c>
      <c r="J115" s="495" t="s">
        <v>154</v>
      </c>
      <c r="K115" s="499" t="s">
        <v>175</v>
      </c>
      <c r="L115" s="498">
        <v>2.9</v>
      </c>
      <c r="M115" s="498">
        <v>41.7</v>
      </c>
      <c r="N115" s="517"/>
      <c r="O115" s="393"/>
      <c r="P115" s="532"/>
      <c r="Q115" s="275"/>
      <c r="R115" s="275"/>
      <c r="S115" s="275"/>
      <c r="T115" s="275"/>
      <c r="U115" s="275"/>
      <c r="V115" s="275"/>
      <c r="W115" s="275"/>
      <c r="X115" s="275"/>
      <c r="Y115" s="275"/>
      <c r="Z115" s="275"/>
      <c r="AA115" s="394"/>
    </row>
    <row r="116" spans="1:27" ht="20.100000000000001" customHeight="1">
      <c r="A116" s="518" t="str">
        <f>VLOOKUP(A114,B115:N116,2)</f>
        <v>NaCl</v>
      </c>
      <c r="B116" s="517" t="s">
        <v>186</v>
      </c>
      <c r="C116" s="498" t="s">
        <v>156</v>
      </c>
      <c r="D116" s="498">
        <f>+D32</f>
        <v>35.453000000000003</v>
      </c>
      <c r="E116" s="518">
        <f>+K33</f>
        <v>58.442800000000005</v>
      </c>
      <c r="F116" s="496" t="s">
        <v>181</v>
      </c>
      <c r="G116" s="498">
        <f>+D33</f>
        <v>22.989799999999999</v>
      </c>
      <c r="H116" s="496" t="s">
        <v>179</v>
      </c>
      <c r="I116" s="498">
        <f>+D32</f>
        <v>35.453000000000003</v>
      </c>
      <c r="J116" s="495" t="s">
        <v>153</v>
      </c>
      <c r="K116" s="499" t="s">
        <v>155</v>
      </c>
      <c r="L116" s="498">
        <v>2.165</v>
      </c>
      <c r="M116" s="498">
        <v>20.54</v>
      </c>
      <c r="N116" s="517"/>
      <c r="O116" s="393"/>
      <c r="P116" s="532"/>
      <c r="Q116" s="275"/>
      <c r="R116" s="275"/>
      <c r="S116" s="275"/>
      <c r="T116" s="275"/>
      <c r="U116" s="275"/>
      <c r="V116" s="275"/>
      <c r="W116" s="275"/>
      <c r="X116" s="275"/>
      <c r="Y116" s="275"/>
      <c r="Z116" s="275"/>
      <c r="AA116" s="394"/>
    </row>
    <row r="117" spans="1:27" ht="20.100000000000001" customHeight="1">
      <c r="A117" s="518">
        <f>VLOOKUP(A114,B115:N116,4)</f>
        <v>58.442800000000005</v>
      </c>
      <c r="B117" s="517"/>
      <c r="C117" s="518"/>
      <c r="D117" s="517"/>
      <c r="E117" s="519"/>
      <c r="F117" s="495"/>
      <c r="G117" s="495"/>
      <c r="H117" s="520"/>
      <c r="I117" s="495"/>
      <c r="J117" s="495"/>
      <c r="K117" s="495"/>
      <c r="L117" s="495"/>
      <c r="M117" s="495"/>
      <c r="N117" s="517"/>
      <c r="O117" s="275"/>
      <c r="P117" s="532"/>
      <c r="Q117" s="275"/>
      <c r="R117" s="275"/>
      <c r="S117" s="275"/>
      <c r="T117" s="275"/>
      <c r="U117" s="275"/>
      <c r="V117" s="275"/>
      <c r="W117" s="275"/>
      <c r="X117" s="275"/>
      <c r="Y117" s="275"/>
      <c r="Z117" s="275"/>
      <c r="AA117" s="394"/>
    </row>
    <row r="118" spans="1:27" ht="20.100000000000001" customHeight="1">
      <c r="A118" s="518" t="str">
        <f>VLOOKUP(A114,B115:N116,5)</f>
        <v>Sodium</v>
      </c>
      <c r="B118" s="517"/>
      <c r="C118" s="518"/>
      <c r="D118" s="517"/>
      <c r="E118" s="519"/>
      <c r="F118" s="517"/>
      <c r="G118" s="517"/>
      <c r="H118" s="522"/>
      <c r="I118" s="517"/>
      <c r="J118" s="517"/>
      <c r="K118" s="517"/>
      <c r="L118" s="517"/>
      <c r="M118" s="517"/>
      <c r="N118" s="517"/>
      <c r="O118" s="275"/>
      <c r="P118" s="532"/>
      <c r="Q118" s="275"/>
      <c r="R118" s="275"/>
      <c r="S118" s="275"/>
      <c r="T118" s="275"/>
      <c r="U118" s="275"/>
      <c r="V118" s="275"/>
      <c r="W118" s="275"/>
      <c r="X118" s="275"/>
      <c r="Y118" s="275"/>
      <c r="Z118" s="275"/>
      <c r="AA118" s="394"/>
    </row>
    <row r="119" spans="1:27" ht="20.100000000000001" customHeight="1">
      <c r="A119" s="518">
        <f>VLOOKUP(A114,B115:N116,6)</f>
        <v>22.989799999999999</v>
      </c>
      <c r="B119" s="517"/>
      <c r="C119" s="518"/>
      <c r="D119" s="517"/>
      <c r="E119" s="524"/>
      <c r="F119" s="524"/>
      <c r="G119" s="524"/>
      <c r="H119" s="524"/>
      <c r="I119" s="517"/>
      <c r="J119" s="517"/>
      <c r="K119" s="517"/>
      <c r="L119" s="517"/>
      <c r="M119" s="517"/>
      <c r="N119" s="517"/>
      <c r="O119" s="275"/>
      <c r="P119" s="532"/>
      <c r="Q119" s="275"/>
      <c r="R119" s="275"/>
      <c r="S119" s="275"/>
      <c r="T119" s="275"/>
      <c r="U119" s="275"/>
      <c r="V119" s="275"/>
      <c r="W119" s="275"/>
      <c r="X119" s="275"/>
      <c r="Y119" s="275"/>
      <c r="Z119" s="275"/>
      <c r="AA119" s="394"/>
    </row>
    <row r="120" spans="1:27" ht="20.100000000000001" customHeight="1">
      <c r="A120" s="518" t="str">
        <f>VLOOKUP(A114,B115:N116,7)</f>
        <v>Chlorine</v>
      </c>
      <c r="B120" s="517"/>
      <c r="C120" s="518"/>
      <c r="D120" s="517"/>
      <c r="E120" s="517"/>
      <c r="F120" s="517"/>
      <c r="G120" s="517"/>
      <c r="H120" s="495"/>
      <c r="I120" s="517"/>
      <c r="J120" s="517"/>
      <c r="K120" s="517"/>
      <c r="L120" s="517"/>
      <c r="M120" s="517"/>
      <c r="N120" s="517"/>
      <c r="O120" s="275"/>
      <c r="P120" s="532"/>
      <c r="Q120" s="275"/>
      <c r="R120" s="275"/>
      <c r="S120" s="275"/>
      <c r="T120" s="275"/>
      <c r="U120" s="275"/>
      <c r="V120" s="275"/>
      <c r="W120" s="275"/>
      <c r="X120" s="275"/>
      <c r="Y120" s="275"/>
      <c r="Z120" s="275"/>
      <c r="AA120" s="394"/>
    </row>
    <row r="121" spans="1:27" ht="20.100000000000001" customHeight="1">
      <c r="A121" s="518">
        <f>VLOOKUP(A114,B115:N116,8)</f>
        <v>35.453000000000003</v>
      </c>
      <c r="B121" s="517"/>
      <c r="C121" s="518"/>
      <c r="D121" s="517"/>
      <c r="E121" s="525" t="s">
        <v>353</v>
      </c>
      <c r="F121" s="525"/>
      <c r="G121" s="525"/>
      <c r="H121" s="525"/>
      <c r="I121" s="517"/>
      <c r="J121" s="517"/>
      <c r="K121" s="517"/>
      <c r="L121" s="517"/>
      <c r="M121" s="517"/>
      <c r="N121" s="517"/>
      <c r="O121" s="275"/>
      <c r="P121" s="532"/>
      <c r="Q121" s="275"/>
      <c r="R121" s="275"/>
      <c r="S121" s="275"/>
      <c r="T121" s="275"/>
      <c r="U121" s="275"/>
      <c r="V121" s="275"/>
      <c r="W121" s="275"/>
      <c r="X121" s="275"/>
      <c r="Y121" s="275"/>
      <c r="Z121" s="275"/>
      <c r="AA121" s="394"/>
    </row>
    <row r="122" spans="1:27" ht="20.100000000000001" customHeight="1">
      <c r="A122" s="518" t="str">
        <f>VLOOKUP(A114,B115:N116,9)</f>
        <v>Na</v>
      </c>
      <c r="B122" s="517"/>
      <c r="C122" s="518"/>
      <c r="D122" s="517"/>
      <c r="E122" s="526"/>
      <c r="F122" s="526"/>
      <c r="G122" s="526"/>
      <c r="H122" s="527"/>
      <c r="I122" s="517"/>
      <c r="J122" s="517"/>
      <c r="K122" s="517"/>
      <c r="L122" s="517"/>
      <c r="M122" s="517"/>
      <c r="N122" s="517"/>
      <c r="O122" s="275"/>
      <c r="P122" s="532"/>
      <c r="Q122" s="275"/>
      <c r="R122" s="275"/>
      <c r="S122" s="275"/>
      <c r="T122" s="275"/>
      <c r="U122" s="275"/>
      <c r="V122" s="275"/>
      <c r="W122" s="275"/>
      <c r="X122" s="275"/>
      <c r="Y122" s="275"/>
      <c r="Z122" s="275"/>
      <c r="AA122" s="394"/>
    </row>
    <row r="123" spans="1:27" ht="20.100000000000001" customHeight="1">
      <c r="A123" s="518" t="str">
        <f>VLOOKUP(A114,B115:N116,10)</f>
        <v>Cl</v>
      </c>
      <c r="B123" s="517"/>
      <c r="C123" s="518"/>
      <c r="D123" s="517"/>
      <c r="E123" s="528" t="s">
        <v>241</v>
      </c>
      <c r="F123" s="528"/>
      <c r="G123" s="528"/>
      <c r="H123" s="528"/>
      <c r="I123" s="495"/>
      <c r="J123" s="495"/>
      <c r="K123" s="495"/>
      <c r="L123" s="495"/>
      <c r="M123" s="495"/>
      <c r="N123" s="517"/>
      <c r="O123" s="275"/>
      <c r="P123" s="532"/>
      <c r="Q123" s="275"/>
      <c r="R123" s="275"/>
      <c r="S123" s="275"/>
      <c r="T123" s="275"/>
      <c r="U123" s="275"/>
      <c r="V123" s="275"/>
      <c r="W123" s="275"/>
      <c r="X123" s="275"/>
      <c r="Y123" s="275"/>
      <c r="Z123" s="275"/>
      <c r="AA123" s="394"/>
    </row>
    <row r="124" spans="1:27" ht="20.100000000000001" customHeight="1">
      <c r="A124" s="518">
        <f>VLOOKUP(A114,B115:N116,11)</f>
        <v>2.165</v>
      </c>
      <c r="B124" s="517"/>
      <c r="C124" s="518"/>
      <c r="D124" s="498"/>
      <c r="E124" s="526"/>
      <c r="F124" s="526"/>
      <c r="G124" s="526"/>
      <c r="H124" s="526"/>
      <c r="I124" s="517"/>
      <c r="J124" s="517"/>
      <c r="K124" s="517"/>
      <c r="L124" s="517"/>
      <c r="M124" s="517"/>
      <c r="N124" s="517"/>
      <c r="O124" s="275"/>
      <c r="P124" s="532"/>
      <c r="Q124" s="275"/>
      <c r="R124" s="275"/>
      <c r="S124" s="275"/>
      <c r="T124" s="275"/>
      <c r="U124" s="275"/>
      <c r="V124" s="275"/>
      <c r="W124" s="275"/>
      <c r="X124" s="275"/>
      <c r="Y124" s="275"/>
      <c r="Z124" s="275"/>
      <c r="AA124" s="394"/>
    </row>
    <row r="125" spans="1:27" ht="20.100000000000001" customHeight="1">
      <c r="A125" s="518">
        <f>VLOOKUP(A114,B115:N116,12)</f>
        <v>20.54</v>
      </c>
      <c r="B125" s="517"/>
      <c r="C125" s="518"/>
      <c r="D125" s="517"/>
      <c r="E125" s="529" t="s">
        <v>324</v>
      </c>
      <c r="F125" s="529"/>
      <c r="G125" s="529"/>
      <c r="H125" s="529"/>
      <c r="I125" s="517"/>
      <c r="J125" s="517"/>
      <c r="K125" s="517"/>
      <c r="L125" s="517"/>
      <c r="M125" s="517"/>
      <c r="N125" s="517"/>
      <c r="O125" s="275"/>
      <c r="P125" s="532"/>
      <c r="Q125" s="275"/>
      <c r="R125" s="275"/>
      <c r="S125" s="275"/>
      <c r="T125" s="275"/>
      <c r="U125" s="275"/>
      <c r="V125" s="275"/>
      <c r="W125" s="275"/>
      <c r="X125" s="275"/>
      <c r="Y125" s="275"/>
      <c r="Z125" s="275"/>
      <c r="AA125" s="394"/>
    </row>
    <row r="126" spans="1:27" ht="20.100000000000001" customHeight="1">
      <c r="A126" s="517" t="s">
        <v>182</v>
      </c>
      <c r="B126" s="517"/>
      <c r="C126" s="518"/>
      <c r="D126" s="517"/>
      <c r="E126" s="517"/>
      <c r="F126" s="517"/>
      <c r="G126" s="517"/>
      <c r="H126" s="517"/>
      <c r="I126" s="517"/>
      <c r="J126" s="498"/>
      <c r="K126" s="517"/>
      <c r="L126" s="517"/>
      <c r="M126" s="517"/>
      <c r="N126" s="517"/>
      <c r="O126" s="275"/>
      <c r="P126" s="532"/>
      <c r="Q126" s="275"/>
      <c r="R126" s="275"/>
      <c r="S126" s="275"/>
      <c r="T126" s="275"/>
      <c r="U126" s="275"/>
      <c r="V126" s="275"/>
      <c r="W126" s="275"/>
      <c r="X126" s="275"/>
      <c r="Y126" s="275"/>
      <c r="Z126" s="275"/>
      <c r="AA126" s="394"/>
    </row>
    <row r="127" spans="1:27" ht="20.100000000000001" customHeight="1">
      <c r="A127" s="517" t="s">
        <v>186</v>
      </c>
      <c r="B127" s="517"/>
      <c r="C127" s="517"/>
      <c r="D127" s="517"/>
      <c r="E127" s="517"/>
      <c r="F127" s="517"/>
      <c r="G127" s="517"/>
      <c r="H127" s="517"/>
      <c r="I127" s="517"/>
      <c r="J127" s="517"/>
      <c r="K127" s="517"/>
      <c r="L127" s="517"/>
      <c r="M127" s="517"/>
      <c r="N127" s="517"/>
      <c r="O127" s="536"/>
      <c r="P127" s="537"/>
      <c r="Q127" s="536"/>
      <c r="R127" s="536"/>
      <c r="S127" s="536"/>
      <c r="T127" s="536"/>
      <c r="U127" s="536"/>
      <c r="V127" s="536"/>
      <c r="W127" s="536"/>
      <c r="X127" s="536"/>
      <c r="Y127" s="275"/>
      <c r="Z127" s="275"/>
      <c r="AA127" s="394"/>
    </row>
    <row r="128" spans="1:27" ht="20.100000000000001" customHeight="1">
      <c r="A128" s="517"/>
      <c r="B128" s="517"/>
      <c r="C128" s="517"/>
      <c r="D128" s="517"/>
      <c r="E128" s="517"/>
      <c r="F128" s="517"/>
      <c r="G128" s="517"/>
      <c r="H128" s="517"/>
      <c r="I128" s="517"/>
      <c r="J128" s="517"/>
      <c r="K128" s="517"/>
      <c r="L128" s="517"/>
      <c r="M128" s="517"/>
      <c r="N128" s="517"/>
      <c r="O128" s="536"/>
      <c r="P128" s="537"/>
      <c r="Q128" s="536"/>
      <c r="R128" s="536"/>
      <c r="S128" s="536"/>
      <c r="T128" s="536"/>
      <c r="U128" s="536"/>
      <c r="V128" s="536"/>
      <c r="W128" s="536"/>
      <c r="X128" s="536"/>
      <c r="Y128" s="275"/>
      <c r="Z128" s="275"/>
      <c r="AA128" s="394"/>
    </row>
    <row r="129" spans="1:27" ht="20.100000000000001" customHeight="1">
      <c r="A129" s="517" t="s">
        <v>13</v>
      </c>
      <c r="B129" s="517"/>
      <c r="C129" s="517"/>
      <c r="D129" s="517"/>
      <c r="E129" s="517"/>
      <c r="F129" s="517"/>
      <c r="G129" s="517"/>
      <c r="H129" s="517"/>
      <c r="I129" s="517"/>
      <c r="J129" s="517"/>
      <c r="K129" s="517"/>
      <c r="L129" s="517"/>
      <c r="M129" s="523" t="s">
        <v>364</v>
      </c>
      <c r="N129" s="523"/>
      <c r="O129" s="536"/>
      <c r="P129" s="537"/>
      <c r="Q129" s="536"/>
      <c r="R129" s="536"/>
      <c r="S129" s="536"/>
      <c r="T129" s="536"/>
      <c r="U129" s="536"/>
      <c r="V129" s="536"/>
      <c r="W129" s="536"/>
      <c r="X129" s="536"/>
      <c r="Y129" s="275"/>
      <c r="Z129" s="275"/>
      <c r="AA129" s="394"/>
    </row>
    <row r="130" spans="1:27" ht="13.9" customHeight="1">
      <c r="A130" s="395"/>
      <c r="B130" s="395"/>
      <c r="C130" s="394"/>
      <c r="D130" s="394"/>
      <c r="E130" s="395"/>
      <c r="F130" s="394"/>
      <c r="G130" s="394"/>
      <c r="H130" s="394"/>
      <c r="I130" s="394"/>
      <c r="J130" s="394"/>
      <c r="K130" s="394"/>
      <c r="L130" s="394"/>
      <c r="M130" s="394"/>
      <c r="N130" s="394"/>
      <c r="O130" s="394"/>
      <c r="P130" s="394"/>
      <c r="Q130" s="394"/>
      <c r="R130" s="394"/>
      <c r="S130" s="394"/>
      <c r="T130" s="394"/>
      <c r="U130" s="394"/>
      <c r="V130" s="394"/>
      <c r="W130" s="394"/>
      <c r="X130" s="394"/>
      <c r="Y130" s="262"/>
      <c r="Z130" s="262"/>
      <c r="AA130" s="394"/>
    </row>
    <row r="131" spans="1:27" ht="13.9" customHeight="1">
      <c r="A131" s="395"/>
      <c r="B131" s="396"/>
      <c r="C131" s="394"/>
      <c r="D131" s="396"/>
      <c r="E131" s="396"/>
      <c r="F131" s="396"/>
      <c r="G131" s="396"/>
      <c r="H131" s="396"/>
      <c r="I131" s="396"/>
      <c r="J131" s="396"/>
      <c r="K131" s="396"/>
      <c r="L131" s="396"/>
      <c r="M131" s="396"/>
      <c r="N131" s="396"/>
      <c r="O131" s="394"/>
      <c r="P131" s="394"/>
      <c r="Q131" s="394"/>
      <c r="R131" s="394"/>
      <c r="S131" s="394"/>
      <c r="T131" s="394"/>
      <c r="U131" s="394"/>
      <c r="V131" s="394"/>
      <c r="W131" s="394"/>
      <c r="X131" s="394"/>
      <c r="Y131" s="262"/>
      <c r="Z131" s="262"/>
      <c r="AA131" s="394"/>
    </row>
    <row r="132" spans="1:27" ht="13.9" customHeight="1">
      <c r="A132" s="395"/>
      <c r="B132" s="396"/>
      <c r="C132" s="394"/>
      <c r="D132" s="394"/>
      <c r="E132" s="395"/>
      <c r="F132" s="394"/>
      <c r="G132" s="394"/>
      <c r="H132" s="394"/>
      <c r="I132" s="394"/>
      <c r="J132" s="394"/>
      <c r="K132" s="394"/>
      <c r="L132" s="394"/>
      <c r="M132" s="394"/>
      <c r="N132" s="394"/>
      <c r="O132" s="394"/>
      <c r="P132" s="394"/>
      <c r="Q132" s="394"/>
      <c r="R132" s="394"/>
      <c r="S132" s="394"/>
      <c r="T132" s="394"/>
      <c r="U132" s="394"/>
      <c r="V132" s="394"/>
      <c r="W132" s="394"/>
      <c r="X132" s="394"/>
      <c r="Y132" s="262"/>
      <c r="Z132" s="262"/>
      <c r="AA132" s="394"/>
    </row>
    <row r="133" spans="1:27" ht="13.9" customHeight="1">
      <c r="A133" s="397"/>
      <c r="B133" s="396"/>
      <c r="D133" s="394"/>
      <c r="E133" s="395"/>
      <c r="F133" s="394"/>
      <c r="G133" s="394"/>
      <c r="H133" s="394"/>
      <c r="I133" s="394"/>
      <c r="J133" s="394"/>
      <c r="K133" s="394"/>
      <c r="L133" s="394"/>
      <c r="M133" s="394"/>
      <c r="N133" s="394"/>
      <c r="O133" s="394"/>
      <c r="P133" s="394"/>
      <c r="Q133" s="394"/>
      <c r="R133" s="394"/>
      <c r="S133" s="394"/>
      <c r="T133" s="394"/>
      <c r="U133" s="394"/>
      <c r="V133" s="394"/>
      <c r="W133" s="394"/>
      <c r="X133" s="394"/>
      <c r="Y133" s="262"/>
      <c r="Z133" s="262"/>
    </row>
    <row r="134" spans="1:27" ht="13.9" customHeight="1">
      <c r="B134" s="394"/>
      <c r="D134" s="394"/>
      <c r="E134" s="395"/>
      <c r="F134" s="394"/>
      <c r="G134" s="394"/>
      <c r="H134" s="394"/>
      <c r="I134" s="394"/>
      <c r="J134" s="394"/>
      <c r="K134" s="394"/>
      <c r="L134" s="394"/>
      <c r="M134" s="394"/>
      <c r="N134" s="394"/>
      <c r="O134" s="394"/>
      <c r="P134" s="394"/>
      <c r="Q134" s="394"/>
      <c r="R134" s="394"/>
      <c r="S134" s="394"/>
      <c r="T134" s="394"/>
      <c r="U134" s="394"/>
      <c r="V134" s="394"/>
      <c r="W134" s="394"/>
      <c r="X134" s="394"/>
      <c r="Y134" s="262"/>
      <c r="Z134" s="262"/>
    </row>
    <row r="135" spans="1:27" ht="13.9" customHeight="1">
      <c r="B135" s="394"/>
      <c r="D135" s="394"/>
      <c r="E135" s="394"/>
      <c r="F135" s="394"/>
      <c r="G135" s="394"/>
      <c r="H135" s="394"/>
      <c r="I135" s="394"/>
      <c r="J135" s="394"/>
      <c r="K135" s="394"/>
      <c r="L135" s="394"/>
      <c r="M135" s="394"/>
      <c r="N135" s="394"/>
      <c r="O135" s="394"/>
      <c r="P135" s="394"/>
      <c r="Q135" s="394"/>
      <c r="R135" s="394"/>
      <c r="S135" s="394"/>
      <c r="T135" s="394"/>
      <c r="U135" s="394"/>
      <c r="V135" s="394"/>
      <c r="W135" s="394"/>
      <c r="X135" s="394"/>
      <c r="Y135" s="262"/>
      <c r="Z135" s="262"/>
    </row>
    <row r="136" spans="1:27" ht="13.9" customHeight="1">
      <c r="B136" s="394"/>
      <c r="D136" s="394"/>
      <c r="E136" s="394"/>
      <c r="F136" s="395"/>
      <c r="G136" s="395"/>
      <c r="H136" s="395"/>
      <c r="I136" s="395"/>
      <c r="J136" s="395"/>
      <c r="K136" s="395"/>
      <c r="L136" s="395"/>
      <c r="M136" s="394"/>
      <c r="N136" s="394"/>
      <c r="O136" s="394"/>
      <c r="P136" s="394"/>
      <c r="Q136" s="394"/>
      <c r="R136" s="394"/>
      <c r="S136" s="394"/>
      <c r="T136" s="394"/>
      <c r="U136" s="394"/>
      <c r="V136" s="394"/>
      <c r="W136" s="394"/>
      <c r="X136" s="394"/>
      <c r="Y136" s="262"/>
      <c r="Z136" s="262"/>
    </row>
    <row r="137" spans="1:27" ht="13.9" customHeight="1">
      <c r="B137" s="394"/>
      <c r="D137" s="394"/>
      <c r="E137" s="394"/>
      <c r="F137" s="395"/>
      <c r="G137" s="395"/>
      <c r="H137" s="395"/>
      <c r="I137" s="395"/>
      <c r="J137" s="395"/>
      <c r="K137" s="395"/>
      <c r="L137" s="395"/>
      <c r="M137" s="394"/>
      <c r="N137" s="394"/>
      <c r="O137" s="394"/>
      <c r="P137" s="394"/>
      <c r="Q137" s="394"/>
      <c r="R137" s="394"/>
      <c r="S137" s="394"/>
      <c r="T137" s="394"/>
      <c r="U137" s="394"/>
      <c r="V137" s="394"/>
      <c r="W137" s="394"/>
      <c r="X137" s="394"/>
      <c r="Y137" s="262"/>
      <c r="Z137" s="262"/>
    </row>
    <row r="138" spans="1:27" ht="13.9" customHeight="1">
      <c r="B138" s="394"/>
      <c r="D138" s="394"/>
      <c r="E138" s="394"/>
      <c r="F138" s="395"/>
      <c r="G138" s="395"/>
      <c r="H138" s="395"/>
      <c r="I138" s="395"/>
      <c r="J138" s="395"/>
      <c r="K138" s="395"/>
      <c r="L138" s="395"/>
      <c r="M138" s="394"/>
      <c r="N138" s="394"/>
      <c r="O138" s="394"/>
      <c r="P138" s="394"/>
      <c r="Q138" s="394"/>
      <c r="R138" s="394"/>
      <c r="S138" s="394"/>
      <c r="T138" s="394"/>
      <c r="U138" s="394"/>
      <c r="V138" s="394"/>
      <c r="W138" s="394"/>
      <c r="X138" s="394"/>
      <c r="Y138" s="262"/>
      <c r="Z138" s="262"/>
    </row>
    <row r="139" spans="1:27" ht="13.9" customHeight="1">
      <c r="B139" s="394"/>
      <c r="D139" s="394"/>
      <c r="E139" s="394"/>
      <c r="F139" s="395"/>
      <c r="G139" s="395"/>
      <c r="H139" s="395"/>
      <c r="I139" s="395"/>
      <c r="J139" s="395"/>
      <c r="K139" s="395"/>
      <c r="L139" s="395"/>
      <c r="M139" s="394"/>
      <c r="N139" s="394"/>
      <c r="O139" s="394"/>
      <c r="P139" s="394"/>
      <c r="Q139" s="394"/>
      <c r="R139" s="394"/>
      <c r="S139" s="394"/>
      <c r="T139" s="394"/>
      <c r="U139" s="394"/>
      <c r="V139" s="394"/>
      <c r="W139" s="394"/>
      <c r="X139" s="394"/>
      <c r="Y139" s="262"/>
      <c r="Z139" s="262"/>
    </row>
    <row r="140" spans="1:27" ht="13.9" customHeight="1">
      <c r="B140" s="394"/>
      <c r="C140" s="394"/>
      <c r="D140" s="394"/>
      <c r="E140" s="394"/>
      <c r="F140" s="395"/>
      <c r="G140" s="395"/>
      <c r="H140" s="395"/>
      <c r="I140" s="395"/>
      <c r="J140" s="395"/>
      <c r="K140" s="395"/>
      <c r="L140" s="395"/>
      <c r="M140" s="394"/>
      <c r="N140" s="394"/>
      <c r="O140" s="394"/>
      <c r="P140" s="394"/>
      <c r="Q140" s="394"/>
      <c r="R140" s="394"/>
      <c r="S140" s="394"/>
      <c r="T140" s="394"/>
      <c r="U140" s="394"/>
      <c r="V140" s="394"/>
      <c r="W140" s="394"/>
      <c r="X140" s="394"/>
      <c r="Y140" s="262"/>
      <c r="Z140" s="262"/>
    </row>
    <row r="141" spans="1:27">
      <c r="B141" s="394"/>
      <c r="C141" s="394"/>
      <c r="D141" s="394"/>
      <c r="E141" s="394"/>
      <c r="F141" s="395"/>
      <c r="G141" s="395"/>
      <c r="H141" s="395"/>
      <c r="I141" s="395"/>
      <c r="J141" s="395"/>
      <c r="K141" s="395"/>
      <c r="L141" s="395"/>
      <c r="M141" s="394"/>
      <c r="N141" s="394"/>
      <c r="O141" s="394"/>
      <c r="P141" s="394"/>
      <c r="Q141" s="394"/>
      <c r="R141" s="394"/>
      <c r="S141" s="394"/>
      <c r="T141" s="394"/>
      <c r="U141" s="394"/>
      <c r="V141" s="394"/>
      <c r="W141" s="394"/>
      <c r="X141" s="394"/>
      <c r="Y141" s="262"/>
      <c r="Z141" s="262"/>
    </row>
    <row r="142" spans="1:27">
      <c r="B142" s="394"/>
      <c r="C142" s="394"/>
      <c r="D142" s="394"/>
      <c r="E142" s="394"/>
      <c r="F142" s="395"/>
      <c r="G142" s="395"/>
      <c r="H142" s="395"/>
      <c r="I142" s="395"/>
      <c r="J142" s="395"/>
      <c r="K142" s="395"/>
      <c r="L142" s="395"/>
      <c r="M142" s="394"/>
      <c r="N142" s="394"/>
      <c r="O142" s="394"/>
      <c r="P142" s="394"/>
      <c r="Q142" s="394"/>
      <c r="R142" s="394"/>
      <c r="S142" s="394"/>
      <c r="T142" s="394"/>
      <c r="U142" s="394"/>
      <c r="V142" s="394"/>
      <c r="W142" s="394"/>
      <c r="X142" s="394"/>
      <c r="Y142" s="262"/>
      <c r="Z142" s="262"/>
    </row>
    <row r="143" spans="1:27">
      <c r="B143" s="394"/>
      <c r="C143" s="394"/>
      <c r="D143" s="394"/>
      <c r="E143" s="394"/>
      <c r="F143" s="395"/>
      <c r="G143" s="395"/>
      <c r="H143" s="395"/>
      <c r="I143" s="395"/>
      <c r="J143" s="395"/>
      <c r="K143" s="395"/>
      <c r="L143" s="395"/>
      <c r="M143" s="394"/>
      <c r="N143" s="394"/>
      <c r="O143" s="394"/>
      <c r="P143" s="394"/>
      <c r="Q143" s="394"/>
      <c r="R143" s="394"/>
      <c r="S143" s="394"/>
      <c r="T143" s="394"/>
      <c r="U143" s="394"/>
      <c r="V143" s="394"/>
      <c r="W143" s="394"/>
      <c r="X143" s="394"/>
      <c r="Y143" s="262"/>
      <c r="Z143" s="262"/>
    </row>
    <row r="144" spans="1:27">
      <c r="B144" s="394"/>
      <c r="C144" s="394"/>
      <c r="D144" s="394"/>
      <c r="E144" s="394"/>
      <c r="F144" s="394"/>
      <c r="G144" s="394"/>
      <c r="H144" s="394"/>
      <c r="I144" s="394"/>
      <c r="J144" s="394"/>
      <c r="K144" s="394"/>
      <c r="L144" s="394"/>
      <c r="M144" s="394"/>
      <c r="N144" s="394"/>
      <c r="O144" s="394"/>
      <c r="P144" s="394"/>
      <c r="Q144" s="394"/>
      <c r="R144" s="394"/>
      <c r="S144" s="394"/>
      <c r="T144" s="394"/>
      <c r="U144" s="394"/>
      <c r="V144" s="394"/>
      <c r="W144" s="394"/>
      <c r="X144" s="394"/>
      <c r="Y144" s="262"/>
      <c r="Z144" s="262"/>
    </row>
    <row r="145" spans="2:26">
      <c r="B145" s="394"/>
      <c r="C145" s="394"/>
      <c r="D145" s="394"/>
      <c r="E145" s="394"/>
      <c r="F145" s="394"/>
      <c r="G145" s="394"/>
      <c r="H145" s="394"/>
      <c r="I145" s="394"/>
      <c r="J145" s="394"/>
      <c r="K145" s="394"/>
      <c r="L145" s="394"/>
      <c r="M145" s="394"/>
      <c r="N145" s="394"/>
      <c r="O145" s="394"/>
      <c r="P145" s="394"/>
      <c r="Q145" s="394"/>
      <c r="R145" s="394"/>
      <c r="S145" s="394"/>
      <c r="T145" s="394"/>
      <c r="U145" s="394"/>
      <c r="V145" s="394"/>
      <c r="W145" s="394"/>
      <c r="X145" s="394"/>
      <c r="Y145" s="262"/>
      <c r="Z145" s="262"/>
    </row>
    <row r="146" spans="2:26">
      <c r="B146" s="394"/>
      <c r="C146" s="394"/>
      <c r="D146" s="394"/>
      <c r="E146" s="394"/>
      <c r="F146" s="394"/>
      <c r="G146" s="394"/>
      <c r="H146" s="394"/>
      <c r="I146" s="394"/>
      <c r="J146" s="394"/>
      <c r="K146" s="394"/>
      <c r="L146" s="394"/>
      <c r="M146" s="394"/>
      <c r="N146" s="394"/>
      <c r="O146" s="394"/>
      <c r="P146" s="394"/>
      <c r="Q146" s="394"/>
      <c r="R146" s="394"/>
      <c r="S146" s="394"/>
      <c r="T146" s="394"/>
      <c r="U146" s="394"/>
      <c r="V146" s="394"/>
      <c r="W146" s="394"/>
      <c r="X146" s="394"/>
      <c r="Y146" s="262"/>
      <c r="Z146" s="262"/>
    </row>
    <row r="147" spans="2:26">
      <c r="B147" s="394"/>
      <c r="C147" s="394"/>
      <c r="D147" s="394"/>
      <c r="E147" s="394"/>
      <c r="F147" s="394"/>
      <c r="G147" s="394"/>
      <c r="H147" s="394"/>
      <c r="I147" s="394"/>
      <c r="J147" s="394"/>
      <c r="K147" s="394"/>
      <c r="L147" s="394"/>
      <c r="M147" s="394"/>
      <c r="N147" s="394"/>
      <c r="O147" s="394"/>
      <c r="P147" s="394"/>
      <c r="Q147" s="394"/>
      <c r="R147" s="394"/>
      <c r="S147" s="394"/>
      <c r="T147" s="394"/>
      <c r="U147" s="394"/>
      <c r="V147" s="394"/>
      <c r="W147" s="394"/>
      <c r="X147" s="394"/>
      <c r="Y147" s="262"/>
      <c r="Z147" s="262"/>
    </row>
    <row r="148" spans="2:26">
      <c r="B148" s="394"/>
      <c r="C148" s="394"/>
      <c r="D148" s="394"/>
      <c r="E148" s="394"/>
      <c r="F148" s="394"/>
      <c r="G148" s="394"/>
      <c r="H148" s="394"/>
      <c r="I148" s="394"/>
      <c r="J148" s="394"/>
      <c r="K148" s="394"/>
      <c r="L148" s="394"/>
      <c r="M148" s="394"/>
      <c r="N148" s="394"/>
      <c r="O148" s="394"/>
      <c r="P148" s="394"/>
      <c r="Q148" s="394"/>
      <c r="R148" s="394"/>
      <c r="S148" s="394"/>
      <c r="T148" s="394"/>
      <c r="U148" s="394"/>
      <c r="V148" s="394"/>
      <c r="W148" s="394"/>
      <c r="X148" s="394"/>
      <c r="Y148" s="262"/>
      <c r="Z148" s="262"/>
    </row>
    <row r="149" spans="2:26">
      <c r="B149" s="394"/>
      <c r="C149" s="394"/>
      <c r="D149" s="394"/>
      <c r="E149" s="394"/>
      <c r="F149" s="394"/>
      <c r="G149" s="394"/>
      <c r="H149" s="394"/>
      <c r="I149" s="394"/>
      <c r="J149" s="394"/>
      <c r="K149" s="394"/>
      <c r="L149" s="394"/>
      <c r="M149" s="394"/>
      <c r="N149" s="394"/>
      <c r="O149" s="394"/>
      <c r="P149" s="394"/>
      <c r="Q149" s="394"/>
      <c r="R149" s="394"/>
      <c r="S149" s="394"/>
      <c r="T149" s="394"/>
      <c r="U149" s="394"/>
      <c r="V149" s="394"/>
      <c r="W149" s="394"/>
      <c r="X149" s="394"/>
      <c r="Y149" s="262"/>
      <c r="Z149" s="262"/>
    </row>
    <row r="150" spans="2:26">
      <c r="B150" s="394"/>
      <c r="C150" s="394"/>
      <c r="D150" s="394"/>
      <c r="E150" s="394"/>
      <c r="F150" s="394"/>
      <c r="G150" s="394"/>
      <c r="H150" s="394"/>
      <c r="I150" s="394"/>
      <c r="J150" s="394"/>
      <c r="K150" s="394"/>
      <c r="L150" s="394"/>
      <c r="M150" s="394"/>
      <c r="N150" s="394"/>
      <c r="O150" s="394"/>
      <c r="P150" s="394"/>
      <c r="Q150" s="394"/>
      <c r="R150" s="394"/>
      <c r="S150" s="394"/>
      <c r="T150" s="394"/>
      <c r="U150" s="394"/>
      <c r="V150" s="394"/>
      <c r="W150" s="394"/>
      <c r="X150" s="394"/>
      <c r="Y150" s="262"/>
      <c r="Z150" s="262"/>
    </row>
    <row r="151" spans="2:26">
      <c r="B151" s="394"/>
      <c r="C151" s="394"/>
      <c r="D151" s="394"/>
      <c r="E151" s="394"/>
      <c r="F151" s="394"/>
      <c r="G151" s="394"/>
      <c r="H151" s="394"/>
      <c r="I151" s="394"/>
      <c r="J151" s="394"/>
      <c r="K151" s="394"/>
      <c r="L151" s="394"/>
      <c r="M151" s="394"/>
      <c r="N151" s="394"/>
      <c r="O151" s="394"/>
      <c r="P151" s="394"/>
      <c r="Q151" s="394"/>
      <c r="R151" s="394"/>
      <c r="S151" s="394"/>
      <c r="T151" s="394"/>
      <c r="U151" s="394"/>
      <c r="V151" s="394"/>
      <c r="W151" s="394"/>
      <c r="X151" s="394"/>
      <c r="Y151" s="262"/>
      <c r="Z151" s="262"/>
    </row>
    <row r="152" spans="2:26">
      <c r="B152" s="394"/>
      <c r="C152" s="394"/>
      <c r="D152" s="394"/>
      <c r="E152" s="394"/>
      <c r="F152" s="394"/>
      <c r="G152" s="394"/>
      <c r="H152" s="394"/>
      <c r="I152" s="394"/>
      <c r="J152" s="394"/>
      <c r="K152" s="394"/>
      <c r="L152" s="394"/>
      <c r="M152" s="394"/>
      <c r="N152" s="394"/>
      <c r="O152" s="394"/>
      <c r="P152" s="394"/>
      <c r="Q152" s="394"/>
      <c r="R152" s="394"/>
      <c r="S152" s="394"/>
      <c r="T152" s="394"/>
      <c r="U152" s="394"/>
      <c r="V152" s="394"/>
      <c r="W152" s="394"/>
      <c r="X152" s="394"/>
      <c r="Y152" s="262"/>
      <c r="Z152" s="262"/>
    </row>
    <row r="153" spans="2:26">
      <c r="B153" s="394"/>
      <c r="C153" s="394"/>
      <c r="D153" s="394"/>
      <c r="E153" s="394"/>
      <c r="F153" s="394"/>
      <c r="G153" s="394"/>
      <c r="H153" s="394"/>
      <c r="I153" s="394"/>
      <c r="J153" s="394"/>
      <c r="K153" s="394"/>
      <c r="L153" s="394"/>
      <c r="M153" s="394"/>
      <c r="N153" s="394"/>
      <c r="O153" s="394"/>
      <c r="P153" s="394"/>
      <c r="Q153" s="394"/>
      <c r="R153" s="394"/>
      <c r="S153" s="394"/>
      <c r="T153" s="394"/>
      <c r="U153" s="394"/>
      <c r="V153" s="394"/>
      <c r="W153" s="394"/>
      <c r="X153" s="394"/>
      <c r="Y153" s="262"/>
      <c r="Z153" s="262"/>
    </row>
    <row r="154" spans="2:26">
      <c r="B154" s="394"/>
      <c r="C154" s="394"/>
      <c r="D154" s="394"/>
      <c r="E154" s="394"/>
      <c r="F154" s="394"/>
      <c r="G154" s="394"/>
      <c r="H154" s="394"/>
      <c r="I154" s="394"/>
      <c r="J154" s="394"/>
      <c r="K154" s="394"/>
      <c r="L154" s="394"/>
      <c r="M154" s="394"/>
      <c r="N154" s="394"/>
      <c r="O154" s="394"/>
      <c r="P154" s="394"/>
      <c r="Q154" s="394"/>
      <c r="R154" s="394"/>
      <c r="S154" s="394"/>
      <c r="T154" s="394"/>
      <c r="U154" s="394"/>
      <c r="V154" s="394"/>
      <c r="W154" s="394"/>
      <c r="X154" s="394"/>
      <c r="Y154" s="262"/>
      <c r="Z154" s="262"/>
    </row>
    <row r="155" spans="2:26">
      <c r="B155" s="394"/>
      <c r="C155" s="394"/>
      <c r="D155" s="394"/>
      <c r="E155" s="394"/>
      <c r="F155" s="394"/>
      <c r="G155" s="394"/>
      <c r="H155" s="394"/>
      <c r="I155" s="394"/>
      <c r="J155" s="394"/>
      <c r="K155" s="394"/>
      <c r="L155" s="394"/>
      <c r="M155" s="394"/>
      <c r="N155" s="394"/>
      <c r="O155" s="394"/>
      <c r="P155" s="394"/>
      <c r="Q155" s="394"/>
      <c r="R155" s="394"/>
      <c r="S155" s="394"/>
      <c r="T155" s="394"/>
      <c r="U155" s="394"/>
      <c r="V155" s="394"/>
      <c r="W155" s="394"/>
      <c r="X155" s="394"/>
      <c r="Y155" s="262"/>
      <c r="Z155" s="262"/>
    </row>
    <row r="156" spans="2:26">
      <c r="B156" s="394"/>
      <c r="C156" s="394"/>
      <c r="D156" s="394"/>
      <c r="E156" s="394"/>
      <c r="F156" s="394"/>
      <c r="G156" s="394"/>
      <c r="H156" s="394"/>
      <c r="I156" s="394"/>
      <c r="J156" s="394"/>
      <c r="K156" s="394"/>
      <c r="L156" s="394"/>
      <c r="M156" s="394"/>
      <c r="N156" s="394"/>
      <c r="O156" s="394"/>
      <c r="P156" s="394"/>
      <c r="Q156" s="394"/>
      <c r="R156" s="394"/>
      <c r="S156" s="394"/>
      <c r="T156" s="394"/>
      <c r="U156" s="394"/>
      <c r="V156" s="394"/>
      <c r="W156" s="394"/>
      <c r="X156" s="394"/>
      <c r="Y156" s="262"/>
      <c r="Z156" s="262"/>
    </row>
    <row r="157" spans="2:26">
      <c r="B157" s="394"/>
      <c r="C157" s="394"/>
      <c r="D157" s="394"/>
      <c r="E157" s="394"/>
      <c r="F157" s="394"/>
      <c r="G157" s="394"/>
      <c r="H157" s="394"/>
      <c r="I157" s="394"/>
      <c r="J157" s="394"/>
      <c r="K157" s="394"/>
      <c r="L157" s="394"/>
      <c r="M157" s="394"/>
      <c r="N157" s="394"/>
      <c r="O157" s="394"/>
      <c r="P157" s="394"/>
      <c r="Q157" s="394"/>
      <c r="R157" s="394"/>
      <c r="S157" s="394"/>
      <c r="T157" s="394"/>
      <c r="U157" s="394"/>
      <c r="V157" s="394"/>
      <c r="W157" s="394"/>
      <c r="X157" s="394"/>
      <c r="Y157" s="262"/>
      <c r="Z157" s="262"/>
    </row>
    <row r="158" spans="2:26">
      <c r="B158" s="394"/>
      <c r="C158" s="394"/>
      <c r="D158" s="394"/>
      <c r="E158" s="394"/>
      <c r="F158" s="394"/>
      <c r="G158" s="394"/>
      <c r="H158" s="394"/>
      <c r="I158" s="394"/>
      <c r="J158" s="394"/>
      <c r="K158" s="394"/>
      <c r="L158" s="394"/>
      <c r="M158" s="394"/>
      <c r="N158" s="394"/>
      <c r="O158" s="394"/>
      <c r="P158" s="394"/>
      <c r="Q158" s="394"/>
      <c r="R158" s="394"/>
      <c r="S158" s="394"/>
      <c r="T158" s="394"/>
      <c r="U158" s="394"/>
      <c r="V158" s="394"/>
      <c r="W158" s="394"/>
      <c r="X158" s="394"/>
      <c r="Y158" s="262"/>
      <c r="Z158" s="262"/>
    </row>
    <row r="159" spans="2:26">
      <c r="B159" s="394"/>
      <c r="C159" s="394"/>
      <c r="D159" s="394"/>
      <c r="E159" s="394"/>
      <c r="F159" s="394"/>
      <c r="G159" s="394"/>
      <c r="H159" s="394"/>
      <c r="I159" s="394"/>
      <c r="J159" s="394"/>
      <c r="K159" s="394"/>
      <c r="L159" s="394"/>
      <c r="M159" s="394"/>
      <c r="N159" s="394"/>
      <c r="O159" s="394"/>
      <c r="P159" s="394"/>
      <c r="Q159" s="394"/>
      <c r="R159" s="394"/>
      <c r="S159" s="394"/>
      <c r="T159" s="394"/>
      <c r="U159" s="394"/>
      <c r="V159" s="394"/>
      <c r="W159" s="394"/>
      <c r="X159" s="394"/>
      <c r="Y159" s="262"/>
      <c r="Z159" s="262"/>
    </row>
    <row r="160" spans="2:26">
      <c r="B160" s="394"/>
      <c r="C160" s="394"/>
      <c r="D160" s="394"/>
      <c r="E160" s="394"/>
      <c r="F160" s="394"/>
      <c r="G160" s="394"/>
      <c r="H160" s="394"/>
      <c r="I160" s="394"/>
      <c r="J160" s="394"/>
      <c r="K160" s="394"/>
      <c r="L160" s="394"/>
      <c r="M160" s="394"/>
      <c r="N160" s="394"/>
      <c r="O160" s="394"/>
      <c r="P160" s="394"/>
      <c r="Q160" s="394"/>
      <c r="R160" s="394"/>
      <c r="S160" s="394"/>
      <c r="T160" s="394"/>
      <c r="U160" s="394"/>
      <c r="V160" s="394"/>
      <c r="W160" s="394"/>
      <c r="X160" s="394"/>
      <c r="Y160" s="262"/>
      <c r="Z160" s="262"/>
    </row>
    <row r="161" spans="2:26">
      <c r="B161" s="394"/>
      <c r="C161" s="394"/>
      <c r="D161" s="394"/>
      <c r="E161" s="394"/>
      <c r="F161" s="394"/>
      <c r="G161" s="394"/>
      <c r="H161" s="394"/>
      <c r="I161" s="394"/>
      <c r="J161" s="394"/>
      <c r="K161" s="394"/>
      <c r="L161" s="394"/>
      <c r="M161" s="394"/>
      <c r="N161" s="394"/>
      <c r="O161" s="394"/>
      <c r="P161" s="394"/>
      <c r="Q161" s="394"/>
      <c r="R161" s="394"/>
      <c r="S161" s="394"/>
      <c r="T161" s="394"/>
      <c r="U161" s="394"/>
      <c r="V161" s="394"/>
      <c r="W161" s="394"/>
      <c r="X161" s="394"/>
      <c r="Y161" s="262"/>
      <c r="Z161" s="262"/>
    </row>
    <row r="162" spans="2:26">
      <c r="B162" s="394"/>
      <c r="C162" s="394"/>
      <c r="D162" s="394"/>
      <c r="E162" s="394"/>
      <c r="F162" s="394"/>
      <c r="G162" s="394"/>
      <c r="H162" s="394"/>
      <c r="I162" s="394"/>
      <c r="J162" s="394"/>
      <c r="K162" s="394"/>
      <c r="L162" s="394"/>
      <c r="M162" s="394"/>
      <c r="N162" s="394"/>
      <c r="O162" s="394"/>
      <c r="P162" s="394"/>
      <c r="Q162" s="394"/>
      <c r="R162" s="394"/>
      <c r="S162" s="394"/>
      <c r="T162" s="394"/>
      <c r="U162" s="394"/>
      <c r="V162" s="394"/>
      <c r="W162" s="394"/>
      <c r="X162" s="394"/>
      <c r="Y162" s="262"/>
      <c r="Z162" s="262"/>
    </row>
    <row r="163" spans="2:26">
      <c r="B163" s="394"/>
      <c r="C163" s="394"/>
      <c r="D163" s="394"/>
      <c r="E163" s="394"/>
      <c r="F163" s="394"/>
      <c r="G163" s="394"/>
      <c r="H163" s="394"/>
      <c r="I163" s="394"/>
      <c r="J163" s="394"/>
      <c r="K163" s="394"/>
      <c r="L163" s="394"/>
      <c r="M163" s="394"/>
      <c r="N163" s="394"/>
      <c r="O163" s="394"/>
      <c r="P163" s="394"/>
      <c r="Q163" s="394"/>
      <c r="R163" s="394"/>
      <c r="S163" s="394"/>
      <c r="T163" s="394"/>
      <c r="U163" s="394"/>
      <c r="V163" s="394"/>
      <c r="W163" s="394"/>
      <c r="X163" s="394"/>
      <c r="Y163" s="262"/>
      <c r="Z163" s="262"/>
    </row>
    <row r="164" spans="2:26">
      <c r="B164" s="394"/>
      <c r="C164" s="394"/>
      <c r="D164" s="394"/>
      <c r="E164" s="394"/>
      <c r="F164" s="394"/>
      <c r="G164" s="394"/>
      <c r="H164" s="394"/>
      <c r="I164" s="394"/>
      <c r="J164" s="394"/>
      <c r="K164" s="394"/>
      <c r="L164" s="394"/>
      <c r="M164" s="394"/>
      <c r="N164" s="394"/>
      <c r="O164" s="394"/>
      <c r="P164" s="394"/>
      <c r="Q164" s="394"/>
      <c r="R164" s="394"/>
      <c r="S164" s="394"/>
      <c r="T164" s="394"/>
      <c r="U164" s="394"/>
      <c r="V164" s="394"/>
      <c r="W164" s="394"/>
      <c r="X164" s="394"/>
      <c r="Y164" s="262"/>
      <c r="Z164" s="262"/>
    </row>
    <row r="165" spans="2:26">
      <c r="B165" s="394"/>
      <c r="C165" s="394"/>
      <c r="D165" s="394"/>
      <c r="E165" s="394"/>
      <c r="F165" s="394"/>
      <c r="G165" s="394"/>
      <c r="H165" s="394"/>
      <c r="I165" s="394"/>
      <c r="J165" s="394"/>
      <c r="K165" s="394"/>
      <c r="L165" s="394"/>
      <c r="M165" s="394"/>
      <c r="N165" s="394"/>
      <c r="O165" s="394"/>
      <c r="P165" s="394"/>
      <c r="Q165" s="394"/>
      <c r="R165" s="394"/>
      <c r="S165" s="394"/>
      <c r="T165" s="394"/>
      <c r="U165" s="394"/>
      <c r="V165" s="394"/>
      <c r="W165" s="394"/>
      <c r="X165" s="394"/>
      <c r="Y165" s="262"/>
      <c r="Z165" s="262"/>
    </row>
    <row r="166" spans="2:26">
      <c r="B166" s="394"/>
      <c r="C166" s="394"/>
      <c r="D166" s="394"/>
      <c r="E166" s="394"/>
      <c r="F166" s="394"/>
      <c r="G166" s="394"/>
      <c r="H166" s="394"/>
      <c r="I166" s="394"/>
      <c r="J166" s="394"/>
      <c r="K166" s="394"/>
      <c r="L166" s="394"/>
      <c r="M166" s="394"/>
      <c r="N166" s="394"/>
      <c r="O166" s="394"/>
      <c r="P166" s="394"/>
      <c r="Q166" s="394"/>
      <c r="R166" s="394"/>
      <c r="S166" s="394"/>
      <c r="T166" s="394"/>
      <c r="U166" s="394"/>
      <c r="V166" s="394"/>
      <c r="W166" s="394"/>
      <c r="X166" s="394"/>
      <c r="Y166" s="262"/>
      <c r="Z166" s="262"/>
    </row>
    <row r="167" spans="2:26">
      <c r="B167" s="394"/>
      <c r="C167" s="394"/>
      <c r="D167" s="394"/>
      <c r="E167" s="394"/>
      <c r="F167" s="394"/>
      <c r="G167" s="394"/>
      <c r="H167" s="394"/>
      <c r="I167" s="394"/>
      <c r="J167" s="394"/>
      <c r="K167" s="394"/>
      <c r="L167" s="394"/>
      <c r="M167" s="394"/>
      <c r="N167" s="394"/>
      <c r="O167" s="394"/>
      <c r="P167" s="394"/>
      <c r="Q167" s="394"/>
      <c r="R167" s="394"/>
      <c r="S167" s="394"/>
      <c r="T167" s="394"/>
      <c r="U167" s="394"/>
      <c r="V167" s="394"/>
      <c r="W167" s="394"/>
      <c r="X167" s="394"/>
      <c r="Y167" s="262"/>
      <c r="Z167" s="262"/>
    </row>
    <row r="168" spans="2:26">
      <c r="B168" s="394"/>
      <c r="C168" s="394"/>
      <c r="D168" s="394"/>
      <c r="E168" s="394"/>
      <c r="F168" s="394"/>
      <c r="G168" s="394"/>
      <c r="H168" s="394"/>
      <c r="I168" s="394"/>
      <c r="J168" s="394"/>
      <c r="K168" s="394"/>
      <c r="L168" s="394"/>
      <c r="M168" s="394"/>
      <c r="N168" s="394"/>
      <c r="O168" s="394"/>
      <c r="P168" s="394"/>
      <c r="Q168" s="394"/>
      <c r="R168" s="394"/>
      <c r="S168" s="394"/>
      <c r="T168" s="394"/>
      <c r="U168" s="394"/>
      <c r="V168" s="394"/>
      <c r="W168" s="394"/>
      <c r="X168" s="394"/>
    </row>
    <row r="169" spans="2:26">
      <c r="B169" s="394"/>
      <c r="C169" s="394"/>
      <c r="D169" s="394"/>
      <c r="E169" s="394"/>
      <c r="F169" s="394"/>
      <c r="G169" s="394"/>
      <c r="H169" s="394"/>
      <c r="I169" s="394"/>
      <c r="J169" s="394"/>
      <c r="K169" s="394"/>
      <c r="L169" s="394"/>
      <c r="M169" s="394"/>
      <c r="N169" s="394"/>
      <c r="O169" s="394"/>
      <c r="P169" s="394"/>
      <c r="Q169" s="394"/>
      <c r="R169" s="394"/>
      <c r="S169" s="394"/>
      <c r="T169" s="394"/>
      <c r="U169" s="394"/>
      <c r="V169" s="394"/>
      <c r="W169" s="394"/>
      <c r="X169" s="394"/>
    </row>
    <row r="170" spans="2:26">
      <c r="B170" s="394"/>
      <c r="C170" s="394"/>
      <c r="D170" s="394"/>
      <c r="E170" s="394"/>
      <c r="F170" s="394"/>
      <c r="G170" s="394"/>
      <c r="H170" s="394"/>
      <c r="I170" s="394"/>
      <c r="J170" s="394"/>
      <c r="K170" s="394"/>
      <c r="L170" s="394"/>
      <c r="M170" s="394"/>
      <c r="N170" s="394"/>
      <c r="O170" s="394"/>
      <c r="P170" s="394"/>
      <c r="Q170" s="394"/>
      <c r="R170" s="394"/>
      <c r="S170" s="394"/>
      <c r="T170" s="394"/>
      <c r="U170" s="394"/>
      <c r="V170" s="394"/>
      <c r="W170" s="394"/>
      <c r="X170" s="394"/>
    </row>
    <row r="171" spans="2:26">
      <c r="B171" s="394"/>
      <c r="C171" s="394"/>
      <c r="D171" s="394"/>
      <c r="E171" s="394"/>
      <c r="F171" s="394"/>
      <c r="G171" s="394"/>
      <c r="H171" s="394"/>
      <c r="I171" s="394"/>
      <c r="J171" s="394"/>
      <c r="K171" s="394"/>
      <c r="L171" s="394"/>
      <c r="M171" s="394"/>
      <c r="N171" s="394"/>
      <c r="O171" s="394"/>
      <c r="P171" s="394"/>
      <c r="Q171" s="394"/>
      <c r="R171" s="394"/>
      <c r="S171" s="394"/>
      <c r="T171" s="394"/>
      <c r="U171" s="394"/>
      <c r="V171" s="394"/>
      <c r="W171" s="394"/>
      <c r="X171" s="394"/>
    </row>
    <row r="172" spans="2:26">
      <c r="B172" s="394"/>
      <c r="C172" s="394"/>
      <c r="D172" s="394"/>
      <c r="E172" s="394"/>
      <c r="F172" s="394"/>
      <c r="G172" s="394"/>
      <c r="H172" s="394"/>
      <c r="I172" s="394"/>
      <c r="J172" s="394"/>
      <c r="K172" s="394"/>
      <c r="L172" s="394"/>
      <c r="M172" s="394"/>
      <c r="N172" s="394"/>
      <c r="O172" s="394"/>
      <c r="P172" s="394"/>
      <c r="Q172" s="394"/>
      <c r="R172" s="394"/>
      <c r="S172" s="394"/>
      <c r="T172" s="394"/>
      <c r="U172" s="394"/>
      <c r="V172" s="394"/>
      <c r="W172" s="394"/>
      <c r="X172" s="394"/>
    </row>
    <row r="173" spans="2:26">
      <c r="B173" s="394"/>
      <c r="C173" s="394"/>
      <c r="D173" s="394"/>
      <c r="E173" s="394"/>
      <c r="F173" s="394"/>
      <c r="G173" s="394"/>
      <c r="H173" s="394"/>
      <c r="I173" s="394"/>
      <c r="J173" s="394"/>
      <c r="K173" s="394"/>
      <c r="L173" s="394"/>
      <c r="M173" s="394"/>
      <c r="N173" s="394"/>
      <c r="O173" s="394"/>
      <c r="P173" s="394"/>
      <c r="Q173" s="394"/>
      <c r="R173" s="394"/>
      <c r="S173" s="394"/>
      <c r="T173" s="394"/>
      <c r="U173" s="394"/>
      <c r="V173" s="394"/>
      <c r="W173" s="394"/>
      <c r="X173" s="394"/>
    </row>
    <row r="174" spans="2:26">
      <c r="B174" s="394"/>
      <c r="C174" s="394"/>
      <c r="D174" s="394"/>
      <c r="E174" s="394"/>
      <c r="F174" s="394"/>
      <c r="G174" s="394"/>
      <c r="H174" s="394"/>
      <c r="I174" s="394"/>
      <c r="J174" s="394"/>
      <c r="K174" s="394"/>
      <c r="L174" s="394"/>
      <c r="M174" s="394"/>
      <c r="N174" s="394"/>
      <c r="O174" s="394"/>
      <c r="P174" s="394"/>
      <c r="Q174" s="394"/>
      <c r="R174" s="394"/>
      <c r="S174" s="394"/>
      <c r="T174" s="394"/>
      <c r="U174" s="394"/>
      <c r="V174" s="394"/>
      <c r="W174" s="394"/>
      <c r="X174" s="394"/>
    </row>
    <row r="175" spans="2:26">
      <c r="B175" s="394"/>
      <c r="C175" s="394"/>
      <c r="D175" s="394"/>
      <c r="E175" s="394"/>
      <c r="F175" s="394"/>
      <c r="G175" s="394"/>
      <c r="H175" s="394"/>
      <c r="I175" s="394"/>
      <c r="J175" s="394"/>
      <c r="K175" s="394"/>
      <c r="L175" s="394"/>
      <c r="M175" s="394"/>
      <c r="N175" s="394"/>
      <c r="O175" s="394"/>
      <c r="P175" s="394"/>
      <c r="Q175" s="394"/>
      <c r="R175" s="394"/>
      <c r="S175" s="394"/>
      <c r="T175" s="394"/>
      <c r="U175" s="394"/>
      <c r="V175" s="394"/>
      <c r="W175" s="394"/>
      <c r="X175" s="394"/>
    </row>
    <row r="176" spans="2:26">
      <c r="B176" s="394"/>
      <c r="C176" s="394"/>
      <c r="D176" s="394"/>
      <c r="E176" s="394"/>
      <c r="F176" s="394"/>
      <c r="G176" s="394"/>
      <c r="H176" s="394"/>
      <c r="I176" s="394"/>
      <c r="J176" s="394"/>
      <c r="K176" s="394"/>
      <c r="L176" s="394"/>
      <c r="M176" s="394"/>
      <c r="N176" s="394"/>
      <c r="O176" s="394"/>
      <c r="P176" s="394"/>
      <c r="Q176" s="394"/>
      <c r="R176" s="394"/>
      <c r="S176" s="394"/>
      <c r="T176" s="394"/>
      <c r="U176" s="394"/>
      <c r="V176" s="394"/>
      <c r="W176" s="394"/>
      <c r="X176" s="394"/>
    </row>
    <row r="177" spans="2:24">
      <c r="B177" s="394"/>
      <c r="C177" s="394"/>
      <c r="D177" s="394"/>
      <c r="E177" s="394"/>
      <c r="F177" s="394"/>
      <c r="G177" s="394"/>
      <c r="H177" s="394"/>
      <c r="I177" s="394"/>
      <c r="J177" s="394"/>
      <c r="K177" s="394"/>
      <c r="L177" s="394"/>
      <c r="M177" s="394"/>
      <c r="N177" s="394"/>
      <c r="O177" s="394"/>
      <c r="P177" s="394"/>
      <c r="Q177" s="394"/>
      <c r="R177" s="394"/>
      <c r="S177" s="394"/>
      <c r="T177" s="394"/>
      <c r="U177" s="394"/>
      <c r="V177" s="394"/>
      <c r="W177" s="394"/>
      <c r="X177" s="394"/>
    </row>
    <row r="178" spans="2:24">
      <c r="B178" s="394"/>
      <c r="C178" s="394"/>
      <c r="D178" s="394"/>
      <c r="E178" s="394"/>
      <c r="F178" s="394"/>
      <c r="G178" s="394"/>
      <c r="H178" s="394"/>
      <c r="I178" s="394"/>
      <c r="J178" s="394"/>
      <c r="K178" s="394"/>
      <c r="L178" s="394"/>
      <c r="M178" s="394"/>
      <c r="N178" s="394"/>
      <c r="O178" s="394"/>
      <c r="P178" s="394"/>
      <c r="Q178" s="394"/>
      <c r="R178" s="394"/>
      <c r="S178" s="394"/>
      <c r="T178" s="394"/>
      <c r="U178" s="394"/>
      <c r="V178" s="394"/>
      <c r="W178" s="394"/>
      <c r="X178" s="394"/>
    </row>
    <row r="179" spans="2:24">
      <c r="B179" s="394"/>
      <c r="C179" s="394"/>
      <c r="D179" s="394"/>
      <c r="E179" s="394"/>
      <c r="F179" s="394"/>
      <c r="G179" s="394"/>
      <c r="H179" s="394"/>
      <c r="I179" s="394"/>
      <c r="J179" s="394"/>
      <c r="K179" s="394"/>
      <c r="L179" s="394"/>
      <c r="M179" s="394"/>
      <c r="N179" s="394"/>
      <c r="O179" s="394"/>
      <c r="P179" s="394"/>
      <c r="Q179" s="394"/>
      <c r="R179" s="394"/>
      <c r="S179" s="394"/>
      <c r="T179" s="394"/>
      <c r="U179" s="394"/>
      <c r="V179" s="394"/>
      <c r="W179" s="394"/>
      <c r="X179" s="394"/>
    </row>
    <row r="180" spans="2:24">
      <c r="B180" s="394"/>
      <c r="C180" s="394"/>
      <c r="D180" s="394"/>
      <c r="E180" s="394"/>
      <c r="F180" s="394"/>
      <c r="G180" s="394"/>
      <c r="H180" s="394"/>
      <c r="I180" s="394"/>
      <c r="J180" s="394"/>
      <c r="K180" s="394"/>
      <c r="L180" s="394"/>
      <c r="M180" s="394"/>
      <c r="N180" s="394"/>
      <c r="O180" s="394"/>
      <c r="P180" s="394"/>
      <c r="Q180" s="394"/>
      <c r="R180" s="394"/>
      <c r="S180" s="394"/>
      <c r="T180" s="394"/>
      <c r="U180" s="394"/>
      <c r="V180" s="394"/>
      <c r="W180" s="394"/>
      <c r="X180" s="394"/>
    </row>
    <row r="181" spans="2:24">
      <c r="B181" s="394"/>
      <c r="C181" s="394"/>
      <c r="D181" s="394"/>
      <c r="E181" s="394"/>
      <c r="F181" s="394"/>
      <c r="G181" s="394"/>
      <c r="H181" s="394"/>
      <c r="I181" s="394"/>
      <c r="J181" s="394"/>
      <c r="K181" s="394"/>
      <c r="L181" s="394"/>
      <c r="M181" s="394"/>
      <c r="N181" s="394"/>
      <c r="O181" s="394"/>
      <c r="P181" s="394"/>
      <c r="Q181" s="394"/>
      <c r="R181" s="394"/>
      <c r="S181" s="394"/>
      <c r="T181" s="394"/>
      <c r="U181" s="394"/>
      <c r="V181" s="394"/>
      <c r="W181" s="394"/>
      <c r="X181" s="394"/>
    </row>
    <row r="182" spans="2:24">
      <c r="B182" s="394"/>
      <c r="C182" s="394"/>
      <c r="D182" s="394"/>
      <c r="E182" s="394"/>
      <c r="F182" s="394"/>
      <c r="G182" s="394"/>
      <c r="H182" s="394"/>
      <c r="I182" s="394"/>
      <c r="J182" s="394"/>
      <c r="K182" s="394"/>
      <c r="L182" s="394"/>
      <c r="M182" s="394"/>
      <c r="N182" s="394"/>
      <c r="O182" s="394"/>
      <c r="P182" s="394"/>
      <c r="Q182" s="394"/>
      <c r="R182" s="394"/>
      <c r="S182" s="394"/>
      <c r="T182" s="394"/>
      <c r="U182" s="394"/>
      <c r="V182" s="394"/>
      <c r="W182" s="394"/>
      <c r="X182" s="394"/>
    </row>
    <row r="183" spans="2:24">
      <c r="B183" s="394"/>
      <c r="C183" s="394"/>
      <c r="D183" s="394"/>
      <c r="E183" s="394"/>
      <c r="F183" s="394"/>
      <c r="G183" s="394"/>
      <c r="H183" s="394"/>
      <c r="I183" s="394"/>
      <c r="J183" s="394"/>
      <c r="K183" s="394"/>
      <c r="L183" s="394"/>
      <c r="M183" s="394"/>
      <c r="N183" s="394"/>
      <c r="O183" s="394"/>
      <c r="P183" s="394"/>
      <c r="Q183" s="394"/>
      <c r="R183" s="394"/>
      <c r="S183" s="394"/>
      <c r="T183" s="394"/>
      <c r="U183" s="394"/>
      <c r="V183" s="394"/>
      <c r="W183" s="394"/>
      <c r="X183" s="394"/>
    </row>
    <row r="184" spans="2:24">
      <c r="B184" s="394"/>
      <c r="C184" s="394"/>
      <c r="D184" s="394"/>
      <c r="E184" s="394"/>
      <c r="F184" s="394"/>
      <c r="G184" s="394"/>
      <c r="H184" s="394"/>
      <c r="I184" s="394"/>
      <c r="J184" s="394"/>
      <c r="K184" s="394"/>
      <c r="L184" s="394"/>
      <c r="M184" s="394"/>
      <c r="N184" s="394"/>
      <c r="O184" s="394"/>
      <c r="P184" s="394"/>
      <c r="Q184" s="394"/>
      <c r="R184" s="394"/>
      <c r="S184" s="394"/>
      <c r="T184" s="394"/>
      <c r="U184" s="394"/>
      <c r="V184" s="394"/>
      <c r="W184" s="394"/>
      <c r="X184" s="394"/>
    </row>
    <row r="185" spans="2:24">
      <c r="B185" s="394"/>
      <c r="C185" s="394"/>
      <c r="D185" s="394"/>
      <c r="E185" s="394"/>
      <c r="F185" s="394"/>
      <c r="G185" s="394"/>
      <c r="H185" s="394"/>
      <c r="I185" s="394"/>
      <c r="J185" s="394"/>
      <c r="K185" s="394"/>
      <c r="L185" s="394"/>
      <c r="M185" s="394"/>
      <c r="N185" s="394"/>
      <c r="O185" s="394"/>
      <c r="P185" s="394"/>
      <c r="Q185" s="394"/>
      <c r="R185" s="394"/>
      <c r="S185" s="394"/>
      <c r="T185" s="394"/>
      <c r="U185" s="394"/>
      <c r="V185" s="394"/>
      <c r="W185" s="394"/>
      <c r="X185" s="394"/>
    </row>
    <row r="186" spans="2:24">
      <c r="B186" s="394"/>
      <c r="C186" s="394"/>
      <c r="D186" s="394"/>
      <c r="E186" s="394"/>
      <c r="F186" s="394"/>
      <c r="G186" s="394"/>
      <c r="H186" s="394"/>
      <c r="I186" s="394"/>
      <c r="J186" s="394"/>
      <c r="K186" s="394"/>
      <c r="L186" s="394"/>
      <c r="M186" s="394"/>
      <c r="N186" s="394"/>
      <c r="O186" s="394"/>
      <c r="P186" s="394"/>
      <c r="Q186" s="394"/>
      <c r="R186" s="394"/>
      <c r="S186" s="394"/>
      <c r="T186" s="394"/>
      <c r="U186" s="394"/>
      <c r="V186" s="394"/>
      <c r="W186" s="394"/>
      <c r="X186" s="394"/>
    </row>
    <row r="187" spans="2:24">
      <c r="B187" s="394"/>
      <c r="C187" s="394"/>
      <c r="D187" s="394"/>
      <c r="E187" s="394"/>
      <c r="F187" s="394"/>
      <c r="G187" s="394"/>
      <c r="H187" s="394"/>
      <c r="I187" s="394"/>
      <c r="J187" s="394"/>
      <c r="K187" s="394"/>
      <c r="L187" s="394"/>
      <c r="M187" s="394"/>
      <c r="N187" s="394"/>
      <c r="O187" s="394"/>
      <c r="P187" s="394"/>
      <c r="Q187" s="394"/>
      <c r="R187" s="394"/>
      <c r="S187" s="394"/>
      <c r="T187" s="394"/>
      <c r="U187" s="394"/>
      <c r="V187" s="394"/>
      <c r="W187" s="394"/>
      <c r="X187" s="394"/>
    </row>
    <row r="188" spans="2:24">
      <c r="B188" s="394"/>
      <c r="C188" s="394"/>
      <c r="D188" s="394"/>
      <c r="E188" s="394"/>
      <c r="F188" s="394"/>
      <c r="G188" s="394"/>
      <c r="H188" s="394"/>
      <c r="I188" s="394"/>
      <c r="J188" s="394"/>
      <c r="K188" s="394"/>
      <c r="L188" s="394"/>
      <c r="M188" s="394"/>
      <c r="N188" s="394"/>
      <c r="O188" s="394"/>
      <c r="P188" s="394"/>
      <c r="Q188" s="394"/>
      <c r="R188" s="394"/>
      <c r="S188" s="394"/>
      <c r="T188" s="394"/>
      <c r="U188" s="394"/>
      <c r="V188" s="394"/>
      <c r="W188" s="394"/>
      <c r="X188" s="394"/>
    </row>
    <row r="189" spans="2:24">
      <c r="B189" s="394"/>
      <c r="C189" s="394"/>
      <c r="D189" s="394"/>
      <c r="E189" s="394"/>
      <c r="F189" s="394"/>
      <c r="G189" s="394"/>
      <c r="H189" s="394"/>
      <c r="I189" s="394"/>
      <c r="J189" s="394"/>
      <c r="K189" s="394"/>
      <c r="L189" s="394"/>
      <c r="M189" s="394"/>
      <c r="N189" s="394"/>
      <c r="O189" s="394"/>
      <c r="P189" s="394"/>
      <c r="Q189" s="394"/>
      <c r="R189" s="394"/>
      <c r="S189" s="394"/>
      <c r="T189" s="394"/>
      <c r="U189" s="394"/>
      <c r="V189" s="394"/>
      <c r="W189" s="394"/>
      <c r="X189" s="394"/>
    </row>
    <row r="190" spans="2:24">
      <c r="B190" s="394"/>
      <c r="C190" s="394"/>
      <c r="D190" s="394"/>
      <c r="E190" s="394"/>
      <c r="F190" s="394"/>
      <c r="G190" s="394"/>
      <c r="H190" s="394"/>
      <c r="I190" s="394"/>
      <c r="J190" s="394"/>
      <c r="K190" s="394"/>
      <c r="L190" s="394"/>
      <c r="M190" s="394"/>
      <c r="N190" s="394"/>
      <c r="O190" s="394"/>
      <c r="P190" s="394"/>
      <c r="Q190" s="394"/>
      <c r="R190" s="394"/>
      <c r="S190" s="394"/>
      <c r="T190" s="394"/>
      <c r="U190" s="394"/>
      <c r="V190" s="394"/>
      <c r="W190" s="394"/>
      <c r="X190" s="394"/>
    </row>
    <row r="191" spans="2:24">
      <c r="B191" s="394"/>
      <c r="C191" s="394"/>
      <c r="D191" s="394"/>
      <c r="E191" s="394"/>
      <c r="F191" s="394"/>
      <c r="G191" s="394"/>
      <c r="H191" s="394"/>
      <c r="I191" s="394"/>
      <c r="J191" s="394"/>
      <c r="K191" s="394"/>
      <c r="L191" s="394"/>
      <c r="M191" s="394"/>
      <c r="N191" s="394"/>
      <c r="O191" s="394"/>
      <c r="P191" s="394"/>
      <c r="Q191" s="394"/>
      <c r="R191" s="394"/>
      <c r="S191" s="394"/>
      <c r="T191" s="394"/>
      <c r="U191" s="394"/>
      <c r="V191" s="394"/>
      <c r="W191" s="394"/>
      <c r="X191" s="394"/>
    </row>
    <row r="192" spans="2:24">
      <c r="B192" s="394"/>
      <c r="C192" s="394"/>
      <c r="D192" s="394"/>
      <c r="E192" s="394"/>
      <c r="F192" s="394"/>
      <c r="G192" s="394"/>
      <c r="H192" s="394"/>
      <c r="I192" s="394"/>
      <c r="J192" s="394"/>
      <c r="K192" s="394"/>
      <c r="L192" s="394"/>
      <c r="M192" s="394"/>
      <c r="N192" s="394"/>
      <c r="O192" s="394"/>
      <c r="P192" s="394"/>
      <c r="Q192" s="394"/>
      <c r="R192" s="394"/>
      <c r="S192" s="394"/>
      <c r="T192" s="394"/>
      <c r="U192" s="394"/>
      <c r="V192" s="394"/>
      <c r="W192" s="394"/>
      <c r="X192" s="394"/>
    </row>
    <row r="193" spans="2:24">
      <c r="B193" s="394"/>
      <c r="C193" s="394"/>
      <c r="D193" s="394"/>
      <c r="E193" s="394"/>
      <c r="F193" s="394"/>
      <c r="G193" s="394"/>
      <c r="H193" s="394"/>
      <c r="I193" s="394"/>
      <c r="J193" s="394"/>
      <c r="K193" s="394"/>
      <c r="L193" s="394"/>
      <c r="M193" s="394"/>
      <c r="N193" s="394"/>
      <c r="O193" s="394"/>
      <c r="P193" s="394"/>
      <c r="Q193" s="394"/>
      <c r="R193" s="394"/>
      <c r="S193" s="394"/>
      <c r="T193" s="394"/>
      <c r="U193" s="394"/>
      <c r="V193" s="394"/>
      <c r="W193" s="394"/>
      <c r="X193" s="394"/>
    </row>
    <row r="194" spans="2:24">
      <c r="B194" s="394"/>
      <c r="C194" s="394"/>
      <c r="D194" s="394"/>
      <c r="E194" s="394"/>
      <c r="F194" s="394"/>
      <c r="G194" s="394"/>
      <c r="H194" s="394"/>
      <c r="I194" s="394"/>
      <c r="J194" s="394"/>
      <c r="K194" s="394"/>
      <c r="L194" s="394"/>
      <c r="M194" s="394"/>
      <c r="N194" s="394"/>
      <c r="O194" s="394"/>
      <c r="P194" s="394"/>
      <c r="Q194" s="394"/>
      <c r="R194" s="394"/>
      <c r="S194" s="394"/>
      <c r="T194" s="394"/>
      <c r="U194" s="394"/>
      <c r="V194" s="394"/>
      <c r="W194" s="394"/>
      <c r="X194" s="394"/>
    </row>
    <row r="195" spans="2:24">
      <c r="B195" s="394"/>
      <c r="C195" s="394"/>
      <c r="D195" s="394"/>
      <c r="E195" s="394"/>
      <c r="F195" s="394"/>
      <c r="G195" s="394"/>
      <c r="H195" s="394"/>
      <c r="I195" s="394"/>
      <c r="J195" s="394"/>
      <c r="K195" s="394"/>
      <c r="L195" s="394"/>
      <c r="M195" s="394"/>
      <c r="N195" s="394"/>
      <c r="O195" s="394"/>
      <c r="P195" s="394"/>
      <c r="Q195" s="394"/>
      <c r="R195" s="394"/>
      <c r="S195" s="394"/>
      <c r="T195" s="394"/>
      <c r="U195" s="394"/>
      <c r="V195" s="394"/>
      <c r="W195" s="394"/>
      <c r="X195" s="394"/>
    </row>
    <row r="196" spans="2:24">
      <c r="B196" s="394"/>
      <c r="C196" s="394"/>
      <c r="D196" s="394"/>
      <c r="E196" s="394"/>
      <c r="F196" s="394"/>
      <c r="G196" s="394"/>
      <c r="H196" s="394"/>
      <c r="I196" s="394"/>
      <c r="J196" s="394"/>
      <c r="K196" s="394"/>
      <c r="L196" s="394"/>
      <c r="M196" s="394"/>
      <c r="N196" s="394"/>
      <c r="O196" s="394"/>
      <c r="P196" s="394"/>
      <c r="Q196" s="394"/>
      <c r="R196" s="394"/>
      <c r="S196" s="394"/>
      <c r="T196" s="394"/>
      <c r="U196" s="394"/>
      <c r="V196" s="394"/>
      <c r="W196" s="394"/>
      <c r="X196" s="394"/>
    </row>
    <row r="197" spans="2:24">
      <c r="B197" s="394"/>
      <c r="C197" s="394"/>
      <c r="D197" s="394"/>
      <c r="E197" s="394"/>
      <c r="F197" s="394"/>
      <c r="G197" s="394"/>
      <c r="H197" s="394"/>
      <c r="I197" s="394"/>
      <c r="J197" s="394"/>
      <c r="K197" s="394"/>
      <c r="L197" s="394"/>
      <c r="M197" s="394"/>
      <c r="N197" s="394"/>
      <c r="O197" s="394"/>
      <c r="P197" s="394"/>
      <c r="Q197" s="394"/>
      <c r="R197" s="394"/>
      <c r="S197" s="394"/>
      <c r="T197" s="394"/>
      <c r="U197" s="394"/>
      <c r="V197" s="394"/>
      <c r="W197" s="394"/>
      <c r="X197" s="394"/>
    </row>
    <row r="198" spans="2:24">
      <c r="B198" s="394"/>
      <c r="C198" s="394"/>
      <c r="D198" s="394"/>
      <c r="E198" s="394"/>
      <c r="F198" s="394"/>
      <c r="G198" s="394"/>
      <c r="H198" s="394"/>
      <c r="I198" s="394"/>
      <c r="J198" s="394"/>
      <c r="K198" s="394"/>
      <c r="L198" s="394"/>
      <c r="M198" s="394"/>
      <c r="N198" s="394"/>
      <c r="O198" s="394"/>
      <c r="P198" s="394"/>
      <c r="Q198" s="394"/>
      <c r="R198" s="394"/>
      <c r="S198" s="394"/>
      <c r="T198" s="394"/>
      <c r="U198" s="394"/>
      <c r="V198" s="394"/>
      <c r="W198" s="394"/>
      <c r="X198" s="394"/>
    </row>
    <row r="199" spans="2:24">
      <c r="B199" s="394"/>
      <c r="C199" s="394"/>
      <c r="D199" s="394"/>
      <c r="E199" s="394"/>
      <c r="F199" s="394"/>
      <c r="G199" s="394"/>
      <c r="H199" s="394"/>
      <c r="I199" s="394"/>
      <c r="J199" s="394"/>
      <c r="K199" s="394"/>
      <c r="L199" s="394"/>
      <c r="M199" s="394"/>
      <c r="N199" s="394"/>
      <c r="O199" s="394"/>
      <c r="P199" s="394"/>
      <c r="Q199" s="394"/>
      <c r="R199" s="394"/>
      <c r="S199" s="394"/>
      <c r="T199" s="394"/>
      <c r="U199" s="394"/>
      <c r="V199" s="394"/>
      <c r="W199" s="394"/>
      <c r="X199" s="394"/>
    </row>
    <row r="200" spans="2:24">
      <c r="B200" s="394"/>
      <c r="C200" s="394"/>
      <c r="D200" s="394"/>
      <c r="E200" s="394"/>
      <c r="F200" s="394"/>
      <c r="G200" s="394"/>
      <c r="H200" s="394"/>
      <c r="I200" s="394"/>
      <c r="J200" s="394"/>
      <c r="K200" s="394"/>
      <c r="L200" s="394"/>
      <c r="M200" s="394"/>
      <c r="N200" s="394"/>
      <c r="O200" s="394"/>
      <c r="P200" s="394"/>
      <c r="Q200" s="394"/>
      <c r="R200" s="394"/>
      <c r="S200" s="394"/>
      <c r="T200" s="394"/>
      <c r="U200" s="394"/>
      <c r="V200" s="394"/>
      <c r="W200" s="394"/>
      <c r="X200" s="394"/>
    </row>
    <row r="201" spans="2:24">
      <c r="B201" s="394"/>
      <c r="C201" s="394"/>
      <c r="D201" s="394"/>
      <c r="E201" s="394"/>
      <c r="F201" s="394"/>
      <c r="G201" s="394"/>
      <c r="H201" s="394"/>
      <c r="I201" s="394"/>
      <c r="J201" s="394"/>
      <c r="K201" s="394"/>
      <c r="L201" s="394"/>
      <c r="M201" s="394"/>
      <c r="N201" s="394"/>
      <c r="O201" s="394"/>
      <c r="P201" s="394"/>
      <c r="Q201" s="394"/>
      <c r="R201" s="394"/>
      <c r="S201" s="394"/>
      <c r="T201" s="394"/>
      <c r="U201" s="394"/>
      <c r="V201" s="394"/>
      <c r="W201" s="394"/>
      <c r="X201" s="394"/>
    </row>
    <row r="202" spans="2:24">
      <c r="B202" s="394"/>
      <c r="C202" s="394"/>
      <c r="D202" s="394"/>
      <c r="E202" s="394"/>
      <c r="F202" s="394"/>
      <c r="G202" s="394"/>
      <c r="H202" s="394"/>
      <c r="I202" s="394"/>
      <c r="J202" s="394"/>
      <c r="K202" s="394"/>
      <c r="L202" s="394"/>
      <c r="M202" s="394"/>
      <c r="N202" s="394"/>
      <c r="O202" s="394"/>
      <c r="P202" s="394"/>
      <c r="Q202" s="394"/>
      <c r="R202" s="394"/>
      <c r="S202" s="394"/>
      <c r="T202" s="394"/>
      <c r="U202" s="394"/>
      <c r="V202" s="394"/>
      <c r="W202" s="394"/>
      <c r="X202" s="394"/>
    </row>
    <row r="203" spans="2:24">
      <c r="B203" s="394"/>
      <c r="C203" s="394"/>
      <c r="D203" s="394"/>
      <c r="E203" s="394"/>
      <c r="F203" s="394"/>
      <c r="G203" s="394"/>
      <c r="H203" s="394"/>
      <c r="I203" s="394"/>
      <c r="J203" s="394"/>
      <c r="K203" s="394"/>
      <c r="L203" s="394"/>
      <c r="M203" s="394"/>
      <c r="N203" s="394"/>
      <c r="O203" s="394"/>
      <c r="P203" s="394"/>
      <c r="Q203" s="394"/>
      <c r="R203" s="394"/>
      <c r="S203" s="394"/>
      <c r="T203" s="394"/>
      <c r="U203" s="394"/>
      <c r="V203" s="394"/>
      <c r="W203" s="394"/>
      <c r="X203" s="394"/>
    </row>
    <row r="204" spans="2:24">
      <c r="B204" s="394"/>
      <c r="C204" s="394"/>
      <c r="D204" s="394"/>
      <c r="E204" s="394"/>
      <c r="F204" s="394"/>
      <c r="G204" s="394"/>
      <c r="H204" s="394"/>
      <c r="I204" s="394"/>
      <c r="J204" s="394"/>
      <c r="K204" s="394"/>
      <c r="L204" s="394"/>
      <c r="M204" s="394"/>
      <c r="N204" s="394"/>
      <c r="O204" s="394"/>
      <c r="P204" s="394"/>
      <c r="Q204" s="394"/>
      <c r="R204" s="394"/>
      <c r="S204" s="394"/>
      <c r="T204" s="394"/>
      <c r="U204" s="394"/>
      <c r="V204" s="394"/>
      <c r="W204" s="394"/>
      <c r="X204" s="394"/>
    </row>
    <row r="205" spans="2:24">
      <c r="B205" s="394"/>
      <c r="C205" s="394"/>
      <c r="D205" s="394"/>
      <c r="E205" s="394"/>
      <c r="F205" s="394"/>
      <c r="G205" s="394"/>
      <c r="H205" s="394"/>
      <c r="I205" s="394"/>
      <c r="J205" s="394"/>
      <c r="K205" s="394"/>
      <c r="L205" s="394"/>
      <c r="M205" s="394"/>
      <c r="N205" s="394"/>
      <c r="O205" s="394"/>
      <c r="P205" s="394"/>
      <c r="Q205" s="394"/>
      <c r="R205" s="394"/>
      <c r="S205" s="394"/>
      <c r="T205" s="394"/>
      <c r="U205" s="394"/>
      <c r="V205" s="394"/>
      <c r="W205" s="394"/>
      <c r="X205" s="394"/>
    </row>
    <row r="206" spans="2:24">
      <c r="B206" s="394"/>
      <c r="C206" s="394"/>
      <c r="D206" s="394"/>
      <c r="E206" s="394"/>
      <c r="F206" s="394"/>
      <c r="G206" s="394"/>
      <c r="H206" s="394"/>
      <c r="I206" s="394"/>
      <c r="J206" s="394"/>
      <c r="K206" s="394"/>
      <c r="L206" s="394"/>
      <c r="M206" s="394"/>
      <c r="N206" s="394"/>
      <c r="O206" s="394"/>
      <c r="P206" s="394"/>
      <c r="Q206" s="394"/>
      <c r="R206" s="394"/>
      <c r="S206" s="394"/>
      <c r="T206" s="394"/>
      <c r="U206" s="394"/>
      <c r="V206" s="394"/>
      <c r="W206" s="394"/>
      <c r="X206" s="394"/>
    </row>
    <row r="207" spans="2:24">
      <c r="B207" s="394"/>
      <c r="C207" s="394"/>
      <c r="D207" s="394"/>
      <c r="E207" s="394"/>
      <c r="F207" s="394"/>
      <c r="G207" s="394"/>
      <c r="H207" s="394"/>
      <c r="I207" s="394"/>
      <c r="J207" s="394"/>
      <c r="K207" s="394"/>
      <c r="L207" s="394"/>
      <c r="M207" s="394"/>
      <c r="N207" s="394"/>
      <c r="O207" s="394"/>
      <c r="P207" s="394"/>
      <c r="Q207" s="394"/>
      <c r="R207" s="394"/>
      <c r="S207" s="394"/>
      <c r="T207" s="394"/>
      <c r="U207" s="394"/>
      <c r="V207" s="394"/>
      <c r="W207" s="394"/>
      <c r="X207" s="394"/>
    </row>
    <row r="208" spans="2:24">
      <c r="B208" s="394"/>
      <c r="C208" s="394"/>
      <c r="D208" s="394"/>
      <c r="E208" s="394"/>
      <c r="F208" s="394"/>
      <c r="G208" s="394"/>
      <c r="H208" s="394"/>
      <c r="I208" s="394"/>
      <c r="J208" s="394"/>
      <c r="K208" s="394"/>
      <c r="L208" s="394"/>
      <c r="M208" s="394"/>
      <c r="N208" s="394"/>
      <c r="O208" s="394"/>
      <c r="P208" s="394"/>
      <c r="Q208" s="394"/>
      <c r="R208" s="394"/>
      <c r="S208" s="394"/>
      <c r="T208" s="394"/>
      <c r="U208" s="394"/>
      <c r="V208" s="394"/>
      <c r="W208" s="394"/>
      <c r="X208" s="394"/>
    </row>
    <row r="209" spans="2:24">
      <c r="B209" s="394"/>
      <c r="C209" s="394"/>
      <c r="D209" s="394"/>
      <c r="E209" s="394"/>
      <c r="F209" s="394"/>
      <c r="G209" s="394"/>
      <c r="H209" s="394"/>
      <c r="I209" s="394"/>
      <c r="J209" s="394"/>
      <c r="K209" s="394"/>
      <c r="L209" s="394"/>
      <c r="M209" s="394"/>
      <c r="N209" s="394"/>
      <c r="O209" s="394"/>
      <c r="P209" s="394"/>
      <c r="Q209" s="394"/>
      <c r="R209" s="394"/>
      <c r="S209" s="394"/>
      <c r="T209" s="394"/>
      <c r="U209" s="394"/>
      <c r="V209" s="394"/>
      <c r="W209" s="394"/>
      <c r="X209" s="394"/>
    </row>
    <row r="210" spans="2:24">
      <c r="B210" s="394"/>
      <c r="C210" s="394"/>
      <c r="D210" s="394"/>
      <c r="E210" s="394"/>
      <c r="F210" s="394"/>
      <c r="G210" s="394"/>
      <c r="H210" s="394"/>
      <c r="I210" s="394"/>
      <c r="J210" s="394"/>
      <c r="K210" s="394"/>
      <c r="L210" s="394"/>
      <c r="M210" s="394"/>
      <c r="N210" s="394"/>
      <c r="O210" s="394"/>
      <c r="P210" s="394"/>
      <c r="Q210" s="394"/>
      <c r="R210" s="394"/>
      <c r="S210" s="394"/>
      <c r="T210" s="394"/>
      <c r="U210" s="394"/>
      <c r="V210" s="394"/>
      <c r="W210" s="394"/>
      <c r="X210" s="394"/>
    </row>
    <row r="211" spans="2:24">
      <c r="B211" s="394"/>
      <c r="C211" s="394"/>
      <c r="D211" s="394"/>
      <c r="E211" s="394"/>
      <c r="F211" s="394"/>
      <c r="G211" s="394"/>
      <c r="H211" s="394"/>
      <c r="I211" s="394"/>
      <c r="J211" s="394"/>
      <c r="K211" s="394"/>
      <c r="L211" s="394"/>
      <c r="M211" s="394"/>
      <c r="N211" s="394"/>
      <c r="O211" s="394"/>
      <c r="P211" s="394"/>
      <c r="Q211" s="394"/>
      <c r="R211" s="394"/>
      <c r="S211" s="394"/>
      <c r="T211" s="394"/>
      <c r="U211" s="394"/>
      <c r="V211" s="394"/>
      <c r="W211" s="394"/>
      <c r="X211" s="394"/>
    </row>
    <row r="212" spans="2:24">
      <c r="B212" s="394"/>
      <c r="C212" s="394"/>
      <c r="D212" s="394"/>
      <c r="E212" s="394"/>
      <c r="F212" s="394"/>
      <c r="G212" s="394"/>
      <c r="H212" s="394"/>
      <c r="I212" s="394"/>
      <c r="J212" s="394"/>
      <c r="K212" s="394"/>
      <c r="L212" s="394"/>
      <c r="M212" s="394"/>
      <c r="N212" s="394"/>
      <c r="O212" s="394"/>
      <c r="P212" s="394"/>
      <c r="Q212" s="394"/>
      <c r="R212" s="394"/>
      <c r="S212" s="394"/>
      <c r="T212" s="394"/>
      <c r="U212" s="394"/>
      <c r="V212" s="394"/>
      <c r="W212" s="394"/>
      <c r="X212" s="394"/>
    </row>
    <row r="213" spans="2:24">
      <c r="B213" s="394"/>
      <c r="C213" s="394"/>
      <c r="D213" s="394"/>
      <c r="E213" s="394"/>
      <c r="F213" s="394"/>
      <c r="G213" s="394"/>
      <c r="H213" s="394"/>
      <c r="I213" s="394"/>
      <c r="J213" s="394"/>
      <c r="K213" s="394"/>
      <c r="L213" s="394"/>
      <c r="M213" s="394"/>
      <c r="N213" s="394"/>
      <c r="O213" s="394"/>
      <c r="P213" s="394"/>
      <c r="Q213" s="394"/>
      <c r="R213" s="394"/>
      <c r="S213" s="394"/>
      <c r="T213" s="394"/>
      <c r="U213" s="394"/>
      <c r="V213" s="394"/>
      <c r="W213" s="394"/>
      <c r="X213" s="394"/>
    </row>
    <row r="214" spans="2:24">
      <c r="B214" s="394"/>
      <c r="C214" s="394"/>
      <c r="D214" s="394"/>
      <c r="E214" s="394"/>
      <c r="F214" s="394"/>
      <c r="G214" s="394"/>
      <c r="H214" s="394"/>
      <c r="I214" s="394"/>
      <c r="J214" s="394"/>
      <c r="K214" s="394"/>
      <c r="L214" s="394"/>
      <c r="M214" s="394"/>
      <c r="N214" s="394"/>
      <c r="O214" s="394"/>
      <c r="P214" s="394"/>
      <c r="Q214" s="394"/>
      <c r="R214" s="394"/>
      <c r="S214" s="394"/>
      <c r="T214" s="394"/>
      <c r="U214" s="394"/>
      <c r="V214" s="394"/>
      <c r="W214" s="394"/>
      <c r="X214" s="394"/>
    </row>
    <row r="215" spans="2:24">
      <c r="B215" s="394"/>
      <c r="C215" s="394"/>
      <c r="D215" s="394"/>
      <c r="E215" s="394"/>
      <c r="F215" s="394"/>
      <c r="G215" s="394"/>
      <c r="H215" s="394"/>
      <c r="I215" s="394"/>
      <c r="J215" s="394"/>
      <c r="K215" s="394"/>
      <c r="L215" s="394"/>
      <c r="M215" s="394"/>
      <c r="N215" s="394"/>
      <c r="O215" s="394"/>
      <c r="P215" s="394"/>
      <c r="Q215" s="394"/>
      <c r="R215" s="394"/>
      <c r="S215" s="394"/>
      <c r="T215" s="394"/>
      <c r="U215" s="394"/>
      <c r="V215" s="394"/>
      <c r="W215" s="394"/>
      <c r="X215" s="394"/>
    </row>
    <row r="216" spans="2:24">
      <c r="B216" s="394"/>
      <c r="C216" s="394"/>
      <c r="D216" s="394"/>
      <c r="E216" s="394"/>
      <c r="F216" s="394"/>
      <c r="G216" s="394"/>
      <c r="H216" s="394"/>
      <c r="I216" s="394"/>
      <c r="J216" s="394"/>
      <c r="K216" s="394"/>
      <c r="L216" s="394"/>
      <c r="M216" s="394"/>
      <c r="N216" s="394"/>
      <c r="O216" s="394"/>
      <c r="P216" s="394"/>
      <c r="Q216" s="394"/>
      <c r="R216" s="394"/>
      <c r="S216" s="394"/>
      <c r="T216" s="394"/>
      <c r="U216" s="394"/>
      <c r="V216" s="394"/>
      <c r="W216" s="394"/>
      <c r="X216" s="394"/>
    </row>
    <row r="217" spans="2:24">
      <c r="B217" s="394"/>
      <c r="C217" s="394"/>
      <c r="D217" s="394"/>
      <c r="E217" s="394"/>
      <c r="F217" s="394"/>
      <c r="G217" s="394"/>
      <c r="H217" s="394"/>
      <c r="I217" s="394"/>
      <c r="J217" s="394"/>
      <c r="K217" s="394"/>
      <c r="L217" s="394"/>
      <c r="M217" s="394"/>
      <c r="N217" s="394"/>
      <c r="O217" s="394"/>
      <c r="P217" s="394"/>
      <c r="Q217" s="394"/>
      <c r="R217" s="394"/>
      <c r="S217" s="394"/>
      <c r="T217" s="394"/>
      <c r="U217" s="394"/>
      <c r="V217" s="394"/>
      <c r="W217" s="394"/>
      <c r="X217" s="394"/>
    </row>
    <row r="218" spans="2:24">
      <c r="B218" s="394"/>
      <c r="C218" s="394"/>
      <c r="D218" s="394"/>
      <c r="E218" s="394"/>
      <c r="F218" s="394"/>
      <c r="G218" s="394"/>
      <c r="H218" s="394"/>
      <c r="I218" s="394"/>
      <c r="J218" s="394"/>
      <c r="K218" s="394"/>
      <c r="L218" s="394"/>
      <c r="M218" s="394"/>
      <c r="N218" s="394"/>
      <c r="O218" s="394"/>
      <c r="P218" s="394"/>
      <c r="Q218" s="394"/>
      <c r="R218" s="394"/>
      <c r="S218" s="394"/>
      <c r="T218" s="394"/>
      <c r="U218" s="394"/>
      <c r="V218" s="394"/>
      <c r="W218" s="394"/>
      <c r="X218" s="394"/>
    </row>
    <row r="219" spans="2:24">
      <c r="B219" s="394"/>
      <c r="C219" s="394"/>
      <c r="D219" s="394"/>
      <c r="E219" s="394"/>
      <c r="F219" s="394"/>
      <c r="G219" s="394"/>
      <c r="H219" s="394"/>
      <c r="I219" s="394"/>
      <c r="J219" s="394"/>
      <c r="K219" s="394"/>
      <c r="L219" s="394"/>
      <c r="M219" s="394"/>
      <c r="N219" s="394"/>
      <c r="O219" s="394"/>
      <c r="P219" s="394"/>
      <c r="Q219" s="394"/>
      <c r="R219" s="394"/>
      <c r="S219" s="394"/>
      <c r="T219" s="394"/>
      <c r="U219" s="394"/>
      <c r="V219" s="394"/>
      <c r="W219" s="394"/>
      <c r="X219" s="394"/>
    </row>
    <row r="220" spans="2:24">
      <c r="B220" s="394"/>
      <c r="C220" s="394"/>
      <c r="D220" s="394"/>
      <c r="E220" s="394"/>
      <c r="F220" s="394"/>
      <c r="G220" s="394"/>
      <c r="H220" s="394"/>
      <c r="I220" s="394"/>
      <c r="J220" s="394"/>
      <c r="K220" s="394"/>
      <c r="L220" s="394"/>
      <c r="M220" s="394"/>
      <c r="N220" s="394"/>
      <c r="O220" s="394"/>
      <c r="P220" s="394"/>
      <c r="Q220" s="394"/>
      <c r="R220" s="394"/>
      <c r="S220" s="394"/>
      <c r="T220" s="394"/>
      <c r="U220" s="394"/>
      <c r="V220" s="394"/>
      <c r="W220" s="394"/>
      <c r="X220" s="394"/>
    </row>
    <row r="221" spans="2:24">
      <c r="B221" s="394"/>
      <c r="C221" s="394"/>
      <c r="D221" s="394"/>
      <c r="E221" s="394"/>
      <c r="F221" s="394"/>
      <c r="G221" s="394"/>
      <c r="H221" s="394"/>
      <c r="I221" s="394"/>
      <c r="J221" s="394"/>
      <c r="K221" s="394"/>
      <c r="L221" s="394"/>
      <c r="M221" s="394"/>
      <c r="N221" s="394"/>
      <c r="O221" s="394"/>
      <c r="P221" s="394"/>
      <c r="Q221" s="394"/>
      <c r="R221" s="394"/>
      <c r="S221" s="394"/>
      <c r="T221" s="394"/>
      <c r="U221" s="394"/>
      <c r="V221" s="394"/>
      <c r="W221" s="394"/>
      <c r="X221" s="394"/>
    </row>
    <row r="222" spans="2:24">
      <c r="B222" s="394"/>
      <c r="C222" s="394"/>
      <c r="D222" s="394"/>
      <c r="E222" s="394"/>
      <c r="F222" s="394"/>
      <c r="G222" s="394"/>
      <c r="H222" s="394"/>
      <c r="I222" s="394"/>
      <c r="J222" s="394"/>
      <c r="K222" s="394"/>
      <c r="L222" s="394"/>
      <c r="M222" s="394"/>
      <c r="N222" s="394"/>
      <c r="O222" s="394"/>
      <c r="P222" s="394"/>
      <c r="Q222" s="394"/>
      <c r="R222" s="394"/>
      <c r="S222" s="394"/>
      <c r="T222" s="394"/>
      <c r="U222" s="394"/>
      <c r="V222" s="394"/>
      <c r="W222" s="394"/>
      <c r="X222" s="394"/>
    </row>
    <row r="223" spans="2:24">
      <c r="B223" s="394"/>
      <c r="C223" s="394"/>
      <c r="D223" s="394"/>
      <c r="E223" s="394"/>
      <c r="F223" s="394"/>
      <c r="G223" s="394"/>
      <c r="H223" s="394"/>
      <c r="I223" s="394"/>
      <c r="J223" s="394"/>
      <c r="K223" s="394"/>
      <c r="L223" s="394"/>
      <c r="M223" s="394"/>
      <c r="N223" s="394"/>
      <c r="O223" s="394"/>
      <c r="P223" s="394"/>
      <c r="Q223" s="394"/>
      <c r="R223" s="394"/>
      <c r="S223" s="394"/>
      <c r="T223" s="394"/>
      <c r="U223" s="394"/>
      <c r="V223" s="394"/>
      <c r="W223" s="394"/>
      <c r="X223" s="394"/>
    </row>
    <row r="224" spans="2:24">
      <c r="B224" s="394"/>
      <c r="C224" s="394"/>
      <c r="D224" s="394"/>
      <c r="E224" s="394"/>
      <c r="F224" s="394"/>
      <c r="G224" s="394"/>
      <c r="H224" s="394"/>
      <c r="I224" s="394"/>
      <c r="J224" s="394"/>
      <c r="K224" s="394"/>
      <c r="L224" s="394"/>
      <c r="M224" s="394"/>
      <c r="N224" s="394"/>
      <c r="O224" s="394"/>
      <c r="P224" s="394"/>
      <c r="Q224" s="394"/>
      <c r="R224" s="394"/>
      <c r="S224" s="394"/>
      <c r="T224" s="394"/>
      <c r="U224" s="394"/>
      <c r="V224" s="394"/>
      <c r="W224" s="394"/>
      <c r="X224" s="394"/>
    </row>
    <row r="225" spans="2:24">
      <c r="B225" s="394"/>
      <c r="C225" s="394"/>
      <c r="D225" s="394"/>
      <c r="E225" s="394"/>
      <c r="F225" s="394"/>
      <c r="G225" s="394"/>
      <c r="H225" s="394"/>
      <c r="I225" s="394"/>
      <c r="J225" s="394"/>
      <c r="K225" s="394"/>
      <c r="L225" s="394"/>
      <c r="M225" s="394"/>
      <c r="N225" s="394"/>
      <c r="O225" s="394"/>
      <c r="P225" s="394"/>
      <c r="Q225" s="394"/>
      <c r="R225" s="394"/>
      <c r="S225" s="394"/>
      <c r="T225" s="394"/>
      <c r="U225" s="394"/>
      <c r="V225" s="394"/>
      <c r="W225" s="394"/>
      <c r="X225" s="394"/>
    </row>
    <row r="226" spans="2:24">
      <c r="B226" s="394"/>
      <c r="C226" s="394"/>
      <c r="D226" s="394"/>
      <c r="E226" s="394"/>
      <c r="F226" s="394"/>
      <c r="G226" s="394"/>
      <c r="H226" s="394"/>
      <c r="I226" s="394"/>
      <c r="J226" s="394"/>
      <c r="K226" s="394"/>
      <c r="L226" s="394"/>
      <c r="M226" s="394"/>
      <c r="N226" s="394"/>
      <c r="O226" s="394"/>
      <c r="P226" s="394"/>
      <c r="Q226" s="394"/>
      <c r="R226" s="394"/>
      <c r="S226" s="394"/>
      <c r="T226" s="394"/>
      <c r="U226" s="394"/>
      <c r="V226" s="394"/>
      <c r="W226" s="394"/>
      <c r="X226" s="394"/>
    </row>
    <row r="227" spans="2:24">
      <c r="B227" s="394"/>
      <c r="C227" s="394"/>
      <c r="D227" s="394"/>
      <c r="E227" s="394"/>
      <c r="F227" s="394"/>
      <c r="G227" s="394"/>
      <c r="H227" s="394"/>
      <c r="I227" s="394"/>
      <c r="J227" s="394"/>
      <c r="K227" s="394"/>
      <c r="L227" s="394"/>
      <c r="M227" s="394"/>
      <c r="N227" s="394"/>
      <c r="O227" s="394"/>
      <c r="P227" s="394"/>
      <c r="Q227" s="394"/>
      <c r="R227" s="394"/>
      <c r="S227" s="394"/>
      <c r="T227" s="394"/>
      <c r="U227" s="394"/>
      <c r="V227" s="394"/>
      <c r="W227" s="394"/>
      <c r="X227" s="394"/>
    </row>
    <row r="228" spans="2:24">
      <c r="B228" s="394"/>
      <c r="C228" s="394"/>
      <c r="D228" s="394"/>
      <c r="E228" s="394"/>
      <c r="F228" s="394"/>
      <c r="G228" s="394"/>
      <c r="H228" s="394"/>
      <c r="I228" s="394"/>
      <c r="J228" s="394"/>
      <c r="K228" s="394"/>
      <c r="L228" s="394"/>
      <c r="M228" s="394"/>
      <c r="N228" s="394"/>
      <c r="O228" s="394"/>
      <c r="P228" s="394"/>
      <c r="Q228" s="394"/>
      <c r="R228" s="394"/>
      <c r="S228" s="394"/>
      <c r="T228" s="394"/>
      <c r="U228" s="394"/>
      <c r="V228" s="394"/>
      <c r="W228" s="394"/>
      <c r="X228" s="394"/>
    </row>
    <row r="229" spans="2:24">
      <c r="B229" s="394"/>
      <c r="C229" s="394"/>
      <c r="D229" s="394"/>
      <c r="E229" s="394"/>
      <c r="F229" s="394"/>
      <c r="G229" s="394"/>
      <c r="H229" s="394"/>
      <c r="I229" s="394"/>
      <c r="J229" s="394"/>
      <c r="K229" s="394"/>
      <c r="L229" s="394"/>
      <c r="M229" s="394"/>
      <c r="N229" s="394"/>
      <c r="O229" s="394"/>
      <c r="P229" s="394"/>
      <c r="Q229" s="394"/>
      <c r="R229" s="394"/>
      <c r="S229" s="394"/>
      <c r="T229" s="394"/>
      <c r="U229" s="394"/>
      <c r="V229" s="394"/>
      <c r="W229" s="394"/>
      <c r="X229" s="394"/>
    </row>
    <row r="230" spans="2:24">
      <c r="B230" s="394"/>
      <c r="C230" s="394"/>
      <c r="D230" s="394"/>
      <c r="E230" s="394"/>
      <c r="F230" s="394"/>
      <c r="G230" s="394"/>
      <c r="H230" s="394"/>
      <c r="I230" s="394"/>
      <c r="J230" s="394"/>
      <c r="K230" s="394"/>
      <c r="L230" s="394"/>
      <c r="M230" s="394"/>
      <c r="N230" s="394"/>
      <c r="O230" s="394"/>
      <c r="P230" s="394"/>
      <c r="Q230" s="394"/>
      <c r="R230" s="394"/>
      <c r="S230" s="394"/>
      <c r="T230" s="394"/>
      <c r="U230" s="394"/>
      <c r="V230" s="394"/>
      <c r="W230" s="394"/>
      <c r="X230" s="394"/>
    </row>
    <row r="231" spans="2:24">
      <c r="B231" s="394"/>
      <c r="C231" s="394"/>
      <c r="D231" s="394"/>
      <c r="E231" s="394"/>
      <c r="F231" s="394"/>
      <c r="G231" s="394"/>
      <c r="H231" s="394"/>
      <c r="I231" s="394"/>
      <c r="J231" s="394"/>
      <c r="K231" s="394"/>
      <c r="L231" s="394"/>
      <c r="M231" s="394"/>
      <c r="N231" s="394"/>
      <c r="O231" s="394"/>
      <c r="P231" s="394"/>
      <c r="Q231" s="394"/>
      <c r="R231" s="394"/>
      <c r="S231" s="394"/>
      <c r="T231" s="394"/>
      <c r="U231" s="394"/>
      <c r="V231" s="394"/>
      <c r="W231" s="394"/>
      <c r="X231" s="394"/>
    </row>
    <row r="232" spans="2:24">
      <c r="B232" s="394"/>
      <c r="C232" s="394"/>
      <c r="D232" s="394"/>
      <c r="E232" s="394"/>
      <c r="F232" s="394"/>
      <c r="G232" s="394"/>
      <c r="H232" s="394"/>
      <c r="I232" s="394"/>
      <c r="J232" s="394"/>
      <c r="K232" s="394"/>
      <c r="L232" s="394"/>
      <c r="M232" s="394"/>
      <c r="N232" s="394"/>
      <c r="O232" s="394"/>
      <c r="P232" s="394"/>
      <c r="Q232" s="394"/>
      <c r="R232" s="394"/>
      <c r="S232" s="394"/>
      <c r="T232" s="394"/>
      <c r="U232" s="394"/>
      <c r="V232" s="394"/>
      <c r="W232" s="394"/>
      <c r="X232" s="394"/>
    </row>
    <row r="233" spans="2:24">
      <c r="B233" s="394"/>
      <c r="C233" s="394"/>
      <c r="D233" s="394"/>
      <c r="E233" s="394"/>
      <c r="F233" s="394"/>
      <c r="G233" s="394"/>
      <c r="H233" s="394"/>
      <c r="I233" s="394"/>
      <c r="J233" s="394"/>
      <c r="K233" s="394"/>
      <c r="L233" s="394"/>
      <c r="M233" s="394"/>
      <c r="N233" s="394"/>
      <c r="O233" s="394"/>
      <c r="P233" s="394"/>
      <c r="Q233" s="394"/>
      <c r="R233" s="394"/>
      <c r="S233" s="394"/>
      <c r="T233" s="394"/>
      <c r="U233" s="394"/>
      <c r="V233" s="394"/>
      <c r="W233" s="394"/>
      <c r="X233" s="394"/>
    </row>
    <row r="234" spans="2:24">
      <c r="B234" s="394"/>
      <c r="C234" s="394"/>
      <c r="D234" s="394"/>
      <c r="E234" s="394"/>
      <c r="F234" s="394"/>
      <c r="G234" s="394"/>
      <c r="H234" s="394"/>
      <c r="I234" s="394"/>
      <c r="J234" s="394"/>
      <c r="K234" s="394"/>
      <c r="L234" s="394"/>
      <c r="M234" s="394"/>
      <c r="N234" s="394"/>
      <c r="O234" s="394"/>
      <c r="P234" s="394"/>
      <c r="Q234" s="394"/>
      <c r="R234" s="394"/>
      <c r="S234" s="394"/>
      <c r="T234" s="394"/>
      <c r="U234" s="394"/>
      <c r="V234" s="394"/>
      <c r="W234" s="394"/>
      <c r="X234" s="394"/>
    </row>
    <row r="235" spans="2:24">
      <c r="B235" s="394"/>
      <c r="C235" s="394"/>
      <c r="D235" s="394"/>
      <c r="E235" s="394"/>
      <c r="F235" s="394"/>
      <c r="G235" s="394"/>
      <c r="H235" s="394"/>
      <c r="I235" s="394"/>
      <c r="J235" s="394"/>
      <c r="K235" s="394"/>
      <c r="L235" s="394"/>
      <c r="M235" s="394"/>
      <c r="N235" s="394"/>
      <c r="O235" s="394"/>
      <c r="P235" s="394"/>
      <c r="Q235" s="394"/>
      <c r="R235" s="394"/>
      <c r="S235" s="394"/>
      <c r="T235" s="394"/>
      <c r="U235" s="394"/>
      <c r="V235" s="394"/>
      <c r="W235" s="394"/>
      <c r="X235" s="394"/>
    </row>
    <row r="236" spans="2:24">
      <c r="B236" s="394"/>
      <c r="C236" s="394"/>
      <c r="D236" s="394"/>
      <c r="E236" s="394"/>
      <c r="F236" s="394"/>
      <c r="G236" s="394"/>
      <c r="H236" s="394"/>
      <c r="I236" s="394"/>
      <c r="J236" s="394"/>
      <c r="K236" s="394"/>
      <c r="L236" s="394"/>
      <c r="M236" s="394"/>
      <c r="N236" s="394"/>
      <c r="O236" s="394"/>
      <c r="P236" s="394"/>
      <c r="Q236" s="394"/>
      <c r="R236" s="394"/>
      <c r="S236" s="394"/>
      <c r="T236" s="394"/>
      <c r="U236" s="394"/>
      <c r="V236" s="394"/>
      <c r="W236" s="394"/>
      <c r="X236" s="394"/>
    </row>
    <row r="237" spans="2:24">
      <c r="B237" s="394"/>
      <c r="C237" s="394"/>
      <c r="D237" s="394"/>
      <c r="E237" s="394"/>
      <c r="F237" s="394"/>
      <c r="G237" s="394"/>
      <c r="H237" s="394"/>
      <c r="I237" s="394"/>
      <c r="J237" s="394"/>
      <c r="K237" s="394"/>
      <c r="L237" s="394"/>
      <c r="M237" s="394"/>
      <c r="N237" s="394"/>
      <c r="O237" s="394"/>
      <c r="P237" s="394"/>
      <c r="Q237" s="394"/>
      <c r="R237" s="394"/>
      <c r="S237" s="394"/>
      <c r="T237" s="394"/>
      <c r="U237" s="394"/>
      <c r="V237" s="394"/>
      <c r="W237" s="394"/>
      <c r="X237" s="394"/>
    </row>
    <row r="238" spans="2:24">
      <c r="B238" s="394"/>
      <c r="C238" s="394"/>
      <c r="D238" s="394"/>
      <c r="E238" s="394"/>
      <c r="F238" s="394"/>
      <c r="G238" s="394"/>
      <c r="H238" s="394"/>
      <c r="I238" s="394"/>
      <c r="J238" s="394"/>
      <c r="K238" s="394"/>
      <c r="L238" s="394"/>
      <c r="M238" s="394"/>
      <c r="N238" s="394"/>
      <c r="O238" s="394"/>
      <c r="P238" s="394"/>
      <c r="Q238" s="394"/>
      <c r="R238" s="394"/>
      <c r="S238" s="394"/>
      <c r="T238" s="394"/>
      <c r="U238" s="394"/>
      <c r="V238" s="394"/>
      <c r="W238" s="394"/>
      <c r="X238" s="394"/>
    </row>
    <row r="239" spans="2:24">
      <c r="B239" s="394"/>
      <c r="C239" s="394"/>
      <c r="D239" s="394"/>
      <c r="E239" s="394"/>
      <c r="F239" s="394"/>
      <c r="G239" s="394"/>
      <c r="H239" s="394"/>
      <c r="I239" s="394"/>
      <c r="J239" s="394"/>
      <c r="K239" s="394"/>
      <c r="L239" s="394"/>
      <c r="M239" s="394"/>
      <c r="N239" s="394"/>
      <c r="O239" s="394"/>
      <c r="P239" s="394"/>
      <c r="Q239" s="394"/>
      <c r="R239" s="394"/>
      <c r="S239" s="394"/>
      <c r="T239" s="394"/>
      <c r="U239" s="394"/>
      <c r="V239" s="394"/>
      <c r="W239" s="394"/>
      <c r="X239" s="394"/>
    </row>
    <row r="240" spans="2:24">
      <c r="B240" s="394"/>
      <c r="C240" s="394"/>
      <c r="D240" s="394"/>
      <c r="E240" s="394"/>
      <c r="F240" s="394"/>
      <c r="G240" s="394"/>
      <c r="H240" s="394"/>
      <c r="I240" s="394"/>
      <c r="J240" s="394"/>
      <c r="K240" s="394"/>
      <c r="L240" s="394"/>
      <c r="M240" s="394"/>
      <c r="N240" s="394"/>
      <c r="O240" s="394"/>
      <c r="P240" s="394"/>
      <c r="Q240" s="394"/>
      <c r="R240" s="394"/>
      <c r="S240" s="394"/>
      <c r="T240" s="394"/>
      <c r="U240" s="394"/>
      <c r="V240" s="394"/>
      <c r="W240" s="394"/>
      <c r="X240" s="394"/>
    </row>
    <row r="241" spans="2:24">
      <c r="B241" s="394"/>
      <c r="C241" s="394"/>
      <c r="D241" s="394"/>
      <c r="E241" s="394"/>
      <c r="F241" s="394"/>
      <c r="G241" s="394"/>
      <c r="H241" s="394"/>
      <c r="I241" s="394"/>
      <c r="J241" s="394"/>
      <c r="K241" s="394"/>
      <c r="L241" s="394"/>
      <c r="M241" s="394"/>
      <c r="N241" s="394"/>
      <c r="O241" s="394"/>
      <c r="P241" s="394"/>
      <c r="Q241" s="394"/>
      <c r="R241" s="394"/>
      <c r="S241" s="394"/>
      <c r="T241" s="394"/>
      <c r="U241" s="394"/>
      <c r="V241" s="394"/>
      <c r="W241" s="394"/>
      <c r="X241" s="394"/>
    </row>
    <row r="242" spans="2:24">
      <c r="B242" s="394"/>
      <c r="C242" s="394"/>
      <c r="D242" s="394"/>
      <c r="E242" s="394"/>
      <c r="F242" s="394"/>
      <c r="G242" s="394"/>
      <c r="H242" s="394"/>
      <c r="I242" s="394"/>
      <c r="J242" s="394"/>
      <c r="K242" s="394"/>
      <c r="L242" s="394"/>
      <c r="M242" s="394"/>
      <c r="N242" s="394"/>
      <c r="O242" s="394"/>
      <c r="P242" s="394"/>
      <c r="Q242" s="394"/>
      <c r="R242" s="394"/>
      <c r="S242" s="394"/>
      <c r="T242" s="394"/>
      <c r="U242" s="394"/>
      <c r="V242" s="394"/>
      <c r="W242" s="394"/>
      <c r="X242" s="394"/>
    </row>
    <row r="243" spans="2:24">
      <c r="B243" s="394"/>
      <c r="C243" s="394"/>
      <c r="D243" s="394"/>
      <c r="E243" s="394"/>
      <c r="F243" s="394"/>
      <c r="G243" s="394"/>
      <c r="H243" s="394"/>
      <c r="I243" s="394"/>
      <c r="J243" s="394"/>
      <c r="K243" s="394"/>
      <c r="L243" s="394"/>
      <c r="M243" s="394"/>
      <c r="N243" s="394"/>
      <c r="O243" s="394"/>
      <c r="P243" s="394"/>
      <c r="Q243" s="394"/>
      <c r="R243" s="394"/>
      <c r="S243" s="394"/>
      <c r="T243" s="394"/>
      <c r="U243" s="394"/>
      <c r="V243" s="394"/>
      <c r="W243" s="394"/>
      <c r="X243" s="394"/>
    </row>
    <row r="244" spans="2:24">
      <c r="B244" s="394"/>
      <c r="C244" s="394"/>
      <c r="D244" s="394"/>
      <c r="E244" s="394"/>
      <c r="F244" s="394"/>
      <c r="G244" s="394"/>
      <c r="H244" s="394"/>
      <c r="I244" s="394"/>
      <c r="J244" s="394"/>
      <c r="K244" s="394"/>
      <c r="L244" s="394"/>
      <c r="M244" s="394"/>
      <c r="N244" s="394"/>
      <c r="O244" s="394"/>
      <c r="P244" s="394"/>
      <c r="Q244" s="394"/>
      <c r="R244" s="394"/>
      <c r="S244" s="394"/>
      <c r="T244" s="394"/>
      <c r="U244" s="394"/>
      <c r="V244" s="394"/>
      <c r="W244" s="394"/>
      <c r="X244" s="394"/>
    </row>
    <row r="245" spans="2:24">
      <c r="B245" s="394"/>
      <c r="C245" s="394"/>
      <c r="D245" s="394"/>
      <c r="E245" s="394"/>
      <c r="F245" s="394"/>
      <c r="G245" s="394"/>
      <c r="H245" s="394"/>
      <c r="I245" s="394"/>
      <c r="J245" s="394"/>
      <c r="K245" s="394"/>
      <c r="L245" s="394"/>
      <c r="M245" s="394"/>
      <c r="N245" s="394"/>
      <c r="O245" s="394"/>
      <c r="P245" s="394"/>
      <c r="Q245" s="394"/>
      <c r="R245" s="394"/>
      <c r="S245" s="394"/>
      <c r="T245" s="394"/>
      <c r="U245" s="394"/>
      <c r="V245" s="394"/>
      <c r="W245" s="394"/>
      <c r="X245" s="394"/>
    </row>
    <row r="246" spans="2:24">
      <c r="B246" s="398"/>
      <c r="C246" s="398"/>
      <c r="D246" s="398"/>
      <c r="E246" s="398"/>
      <c r="F246" s="398"/>
      <c r="G246" s="398"/>
      <c r="H246" s="398"/>
      <c r="I246" s="398"/>
      <c r="J246" s="398"/>
      <c r="K246" s="398"/>
      <c r="L246" s="398"/>
      <c r="M246" s="398"/>
      <c r="N246" s="398"/>
    </row>
    <row r="247" spans="2:24">
      <c r="B247" s="398"/>
      <c r="C247" s="398"/>
      <c r="D247" s="398"/>
      <c r="E247" s="398"/>
      <c r="F247" s="398"/>
      <c r="G247" s="398"/>
      <c r="H247" s="398"/>
      <c r="I247" s="398"/>
      <c r="J247" s="398"/>
      <c r="K247" s="398"/>
      <c r="L247" s="398"/>
      <c r="M247" s="398"/>
      <c r="N247" s="398"/>
    </row>
    <row r="248" spans="2:24">
      <c r="B248" s="398"/>
      <c r="C248" s="398"/>
      <c r="D248" s="398"/>
      <c r="E248" s="398"/>
      <c r="F248" s="398"/>
      <c r="G248" s="398"/>
      <c r="H248" s="398"/>
      <c r="I248" s="398"/>
      <c r="J248" s="398"/>
      <c r="K248" s="398"/>
      <c r="L248" s="398"/>
      <c r="M248" s="398"/>
      <c r="N248" s="398"/>
    </row>
    <row r="249" spans="2:24">
      <c r="B249" s="398"/>
      <c r="C249" s="398"/>
      <c r="D249" s="398"/>
      <c r="E249" s="398"/>
      <c r="F249" s="398"/>
      <c r="G249" s="398"/>
      <c r="H249" s="398"/>
      <c r="I249" s="398"/>
      <c r="J249" s="398"/>
      <c r="K249" s="398"/>
      <c r="L249" s="398"/>
      <c r="M249" s="398"/>
      <c r="N249" s="398"/>
    </row>
    <row r="250" spans="2:24">
      <c r="B250" s="398"/>
      <c r="C250" s="398"/>
      <c r="D250" s="398"/>
      <c r="E250" s="398"/>
      <c r="F250" s="398"/>
      <c r="G250" s="398"/>
      <c r="H250" s="398"/>
      <c r="I250" s="398"/>
      <c r="J250" s="398"/>
      <c r="K250" s="398"/>
      <c r="L250" s="398"/>
      <c r="M250" s="398"/>
      <c r="N250" s="398"/>
    </row>
    <row r="251" spans="2:24">
      <c r="B251" s="398"/>
      <c r="C251" s="398"/>
      <c r="D251" s="398"/>
      <c r="E251" s="398"/>
      <c r="F251" s="398"/>
      <c r="G251" s="398"/>
      <c r="H251" s="398"/>
      <c r="I251" s="398"/>
      <c r="J251" s="398"/>
      <c r="K251" s="398"/>
      <c r="L251" s="398"/>
      <c r="M251" s="398"/>
      <c r="N251" s="398"/>
    </row>
    <row r="252" spans="2:24">
      <c r="B252" s="398"/>
      <c r="C252" s="398"/>
      <c r="D252" s="398"/>
      <c r="E252" s="398"/>
      <c r="F252" s="398"/>
      <c r="G252" s="398"/>
      <c r="H252" s="398"/>
      <c r="I252" s="398"/>
      <c r="J252" s="398"/>
      <c r="K252" s="398"/>
      <c r="L252" s="398"/>
      <c r="M252" s="398"/>
      <c r="N252" s="398"/>
    </row>
    <row r="253" spans="2:24">
      <c r="B253" s="398"/>
      <c r="C253" s="398"/>
      <c r="D253" s="398"/>
      <c r="E253" s="398"/>
      <c r="F253" s="398"/>
      <c r="G253" s="398"/>
      <c r="H253" s="398"/>
      <c r="I253" s="398"/>
      <c r="J253" s="398"/>
      <c r="K253" s="398"/>
      <c r="L253" s="398"/>
      <c r="M253" s="398"/>
      <c r="N253" s="398"/>
    </row>
    <row r="254" spans="2:24">
      <c r="B254" s="398"/>
      <c r="C254" s="398"/>
      <c r="D254" s="398"/>
      <c r="E254" s="398"/>
      <c r="F254" s="398"/>
      <c r="G254" s="398"/>
      <c r="H254" s="398"/>
      <c r="I254" s="398"/>
      <c r="J254" s="398"/>
      <c r="K254" s="398"/>
      <c r="L254" s="398"/>
      <c r="M254" s="398"/>
      <c r="N254" s="398"/>
    </row>
    <row r="255" spans="2:24">
      <c r="B255" s="398"/>
      <c r="C255" s="398"/>
      <c r="D255" s="398"/>
      <c r="E255" s="398"/>
      <c r="F255" s="398"/>
      <c r="G255" s="398"/>
      <c r="H255" s="398"/>
      <c r="I255" s="398"/>
      <c r="J255" s="398"/>
      <c r="K255" s="398"/>
      <c r="L255" s="398"/>
      <c r="M255" s="398"/>
      <c r="N255" s="398"/>
    </row>
    <row r="256" spans="2:24">
      <c r="B256" s="398"/>
      <c r="C256" s="398"/>
      <c r="D256" s="398"/>
      <c r="E256" s="398"/>
      <c r="F256" s="398"/>
      <c r="G256" s="398"/>
      <c r="H256" s="398"/>
      <c r="I256" s="398"/>
      <c r="J256" s="398"/>
      <c r="K256" s="398"/>
      <c r="L256" s="398"/>
      <c r="M256" s="398"/>
      <c r="N256" s="398"/>
    </row>
    <row r="257" spans="2:14">
      <c r="B257" s="398"/>
      <c r="C257" s="398"/>
      <c r="D257" s="398"/>
      <c r="E257" s="398"/>
      <c r="F257" s="398"/>
      <c r="G257" s="398"/>
      <c r="H257" s="398"/>
      <c r="I257" s="398"/>
      <c r="J257" s="398"/>
      <c r="K257" s="398"/>
      <c r="L257" s="398"/>
      <c r="M257" s="398"/>
      <c r="N257" s="398"/>
    </row>
    <row r="258" spans="2:14">
      <c r="B258" s="398"/>
      <c r="C258" s="398"/>
      <c r="D258" s="398"/>
      <c r="E258" s="398"/>
      <c r="F258" s="398"/>
      <c r="G258" s="398"/>
      <c r="H258" s="398"/>
      <c r="I258" s="398"/>
      <c r="J258" s="398"/>
      <c r="K258" s="398"/>
      <c r="L258" s="398"/>
      <c r="M258" s="398"/>
      <c r="N258" s="398"/>
    </row>
    <row r="259" spans="2:14">
      <c r="B259" s="398"/>
      <c r="C259" s="398"/>
      <c r="D259" s="398"/>
      <c r="E259" s="398"/>
      <c r="F259" s="398"/>
      <c r="G259" s="398"/>
      <c r="H259" s="398"/>
      <c r="I259" s="398"/>
      <c r="J259" s="398"/>
      <c r="K259" s="398"/>
      <c r="L259" s="398"/>
      <c r="M259" s="398"/>
      <c r="N259" s="398"/>
    </row>
    <row r="260" spans="2:14">
      <c r="B260" s="398"/>
      <c r="C260" s="398"/>
      <c r="D260" s="398"/>
      <c r="E260" s="398"/>
      <c r="F260" s="398"/>
      <c r="G260" s="398"/>
      <c r="H260" s="398"/>
      <c r="I260" s="398"/>
      <c r="J260" s="398"/>
      <c r="K260" s="398"/>
      <c r="L260" s="398"/>
      <c r="M260" s="398"/>
      <c r="N260" s="398"/>
    </row>
    <row r="261" spans="2:14">
      <c r="B261" s="398"/>
      <c r="C261" s="398"/>
      <c r="D261" s="398"/>
      <c r="E261" s="398"/>
      <c r="F261" s="398"/>
      <c r="G261" s="398"/>
      <c r="H261" s="398"/>
      <c r="I261" s="398"/>
      <c r="J261" s="398"/>
      <c r="K261" s="398"/>
      <c r="L261" s="398"/>
      <c r="M261" s="398"/>
      <c r="N261" s="398"/>
    </row>
  </sheetData>
  <sheetProtection password="D1AA" sheet="1" objects="1" scenarios="1"/>
  <dataConsolidate/>
  <mergeCells count="46">
    <mergeCell ref="E121:H121"/>
    <mergeCell ref="P15:T15"/>
    <mergeCell ref="P16:T16"/>
    <mergeCell ref="E123:H123"/>
    <mergeCell ref="E125:H125"/>
    <mergeCell ref="F17:G17"/>
    <mergeCell ref="F22:G22"/>
    <mergeCell ref="J17:N17"/>
    <mergeCell ref="F45:G45"/>
    <mergeCell ref="F36:I36"/>
    <mergeCell ref="K37:M37"/>
    <mergeCell ref="M49:N49"/>
    <mergeCell ref="K28:L28"/>
    <mergeCell ref="J36:N36"/>
    <mergeCell ref="F38:G38"/>
    <mergeCell ref="F39:G39"/>
    <mergeCell ref="M129:N129"/>
    <mergeCell ref="A7:B7"/>
    <mergeCell ref="A21:B22"/>
    <mergeCell ref="C22:D22"/>
    <mergeCell ref="G9:K9"/>
    <mergeCell ref="D9:F9"/>
    <mergeCell ref="G14:H14"/>
    <mergeCell ref="C28:D28"/>
    <mergeCell ref="G15:H15"/>
    <mergeCell ref="E28:G28"/>
    <mergeCell ref="F23:G23"/>
    <mergeCell ref="C17:D17"/>
    <mergeCell ref="C18:D18"/>
    <mergeCell ref="L9:M9"/>
    <mergeCell ref="C23:D23"/>
    <mergeCell ref="F18:G18"/>
    <mergeCell ref="F40:G40"/>
    <mergeCell ref="A1:N1"/>
    <mergeCell ref="A2:N2"/>
    <mergeCell ref="A6:B6"/>
    <mergeCell ref="A5:B5"/>
    <mergeCell ref="A3:B3"/>
    <mergeCell ref="A4:B4"/>
    <mergeCell ref="D3:E3"/>
    <mergeCell ref="D6:E6"/>
    <mergeCell ref="I3:K3"/>
    <mergeCell ref="L3:M3"/>
    <mergeCell ref="L6:M6"/>
    <mergeCell ref="I6:K6"/>
    <mergeCell ref="G6:H6"/>
  </mergeCells>
  <dataValidations count="5">
    <dataValidation type="list" allowBlank="1" showInputMessage="1" showErrorMessage="1" sqref="H8">
      <formula1>'Most Skema'!$T$29:$T$44</formula1>
    </dataValidation>
    <dataValidation type="list" allowBlank="1" showInputMessage="1" showErrorMessage="1" errorTitle="Scale for sugar determination" error="You have selected the wrong unit" promptTitle="Scale for sugar determination" prompt="The values ​​below are converted from Oechsle to the selected unit" sqref="A6:B6">
      <formula1>'Most Skema'!$Q$38:$Q$47</formula1>
    </dataValidation>
    <dataValidation type="list" allowBlank="1" showInputMessage="1" showErrorMessage="1" errorTitle="Desired Oechsle degress" error="Select a higher value for desired Oechsle degrees" promptTitle="Desired Oechsle degress" prompt="This number must be &gt; = measured Oechsle degrees" sqref="E5">
      <formula1>'Most Skema'!$E$3:$E$155</formula1>
    </dataValidation>
    <dataValidation type="list" allowBlank="1" showInputMessage="1" showErrorMessage="1" errorTitle="Desired Oechsle degress" error="The range of ​​Oechsle degrees is from 0 to 150" promptTitle="Measured Oechsle degress" prompt="Use the whole number which you measure at Oechsle weight" sqref="D5">
      <formula1>'Most Skema'!$E$3:$E$155</formula1>
    </dataValidation>
    <dataValidation type="list" allowBlank="1" showInputMessage="1" showErrorMessage="1" errorTitle="Valg af stof" error="Det stof du skriver_x000a_findes ikke" promptTitle="Valg af stof" prompt="Vælg mellem_x000a_Natriumklorid og_x000a_Jernklorid" sqref="H39">
      <formula1>$A$126:$A$127</formula1>
    </dataValidation>
  </dataValidations>
  <hyperlinks>
    <hyperlink ref="G15" r:id="rId1"/>
    <hyperlink ref="P50" r:id="rId2"/>
    <hyperlink ref="P52" r:id="rId3"/>
    <hyperlink ref="P54" r:id="rId4"/>
    <hyperlink ref="P56" r:id="rId5"/>
    <hyperlink ref="P64" r:id="rId6"/>
    <hyperlink ref="P58" r:id="rId7"/>
    <hyperlink ref="P60" r:id="rId8"/>
    <hyperlink ref="P62" r:id="rId9"/>
    <hyperlink ref="P66" r:id="rId10"/>
    <hyperlink ref="P68" r:id="rId11"/>
    <hyperlink ref="P70" r:id="rId12"/>
    <hyperlink ref="P71" r:id="rId13"/>
    <hyperlink ref="P73" r:id="rId14" location="Go-FERM "/>
    <hyperlink ref="A52" r:id="rId15"/>
    <hyperlink ref="P77" r:id="rId16"/>
    <hyperlink ref="P79" r:id="rId17"/>
    <hyperlink ref="P81" r:id="rId18"/>
    <hyperlink ref="P83" r:id="rId19"/>
    <hyperlink ref="F65" r:id="rId20" location="Go-FERM "/>
    <hyperlink ref="F87" r:id="rId21"/>
    <hyperlink ref="A36" r:id="rId22"/>
    <hyperlink ref="A37" r:id="rId23"/>
    <hyperlink ref="P85" r:id="rId24"/>
    <hyperlink ref="P87" r:id="rId25"/>
    <hyperlink ref="P89" r:id="rId26"/>
    <hyperlink ref="P91" r:id="rId27" location="Residual_sugar "/>
    <hyperlink ref="P93" r:id="rId28" location="By_strength "/>
    <hyperlink ref="P95" r:id="rId29"/>
    <hyperlink ref="P97" r:id="rId30"/>
    <hyperlink ref="P99" r:id="rId31"/>
    <hyperlink ref="P101" r:id="rId32" location="Granulated "/>
    <hyperlink ref="P103" r:id="rId33" location="sgconversion "/>
    <hyperlink ref="P105" r:id="rId34"/>
    <hyperlink ref="E123" r:id="rId35"/>
    <hyperlink ref="E92" r:id="rId36"/>
    <hyperlink ref="H92" r:id="rId37"/>
    <hyperlink ref="P109" r:id="rId38"/>
    <hyperlink ref="P107" r:id="rId39"/>
  </hyperlinks>
  <pageMargins left="0.7" right="0.7" top="0.75" bottom="0.75" header="0.3" footer="0.3"/>
  <pageSetup paperSize="9" orientation="portrait" r:id="rId40"/>
  <drawing r:id="rId4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S174"/>
  <sheetViews>
    <sheetView zoomScale="80" zoomScaleNormal="80" workbookViewId="0">
      <pane xSplit="4" ySplit="4" topLeftCell="E5" activePane="bottomRight" state="frozen"/>
      <selection pane="topRight" activeCell="E1" sqref="E1"/>
      <selection pane="bottomLeft" activeCell="A5" sqref="A5"/>
      <selection pane="bottomRight" activeCell="E3" sqref="E3"/>
    </sheetView>
  </sheetViews>
  <sheetFormatPr defaultColWidth="8.85546875" defaultRowHeight="18"/>
  <cols>
    <col min="1" max="2" width="2.7109375" style="117" customWidth="1"/>
    <col min="3" max="3" width="8.85546875" style="268" customWidth="1"/>
    <col min="4" max="4" width="2.7109375" style="268" customWidth="1"/>
    <col min="5" max="5" width="21.7109375" style="269" customWidth="1"/>
    <col min="6" max="6" width="17.140625" style="269" bestFit="1" customWidth="1"/>
    <col min="7" max="7" width="12.28515625" style="270" bestFit="1" customWidth="1"/>
    <col min="8" max="8" width="17.7109375" style="117" bestFit="1" customWidth="1"/>
    <col min="9" max="9" width="12.28515625" style="271" bestFit="1" customWidth="1"/>
    <col min="10" max="10" width="17.28515625" style="117" bestFit="1" customWidth="1"/>
    <col min="11" max="11" width="16.5703125" style="272" bestFit="1" customWidth="1"/>
    <col min="12" max="12" width="15.7109375" style="117" customWidth="1"/>
    <col min="13" max="13" width="12.28515625" style="117" bestFit="1" customWidth="1"/>
    <col min="14" max="14" width="20.7109375" style="117" bestFit="1" customWidth="1"/>
    <col min="15" max="16" width="20.7109375" style="117" customWidth="1"/>
    <col min="17" max="17" width="26.7109375" style="117" bestFit="1" customWidth="1"/>
    <col min="18" max="19" width="12.7109375" style="117" customWidth="1"/>
    <col min="20" max="20" width="20.42578125" style="117" bestFit="1" customWidth="1"/>
    <col min="21" max="22" width="12.7109375" style="117" customWidth="1"/>
    <col min="23" max="23" width="28.7109375" style="117" customWidth="1"/>
    <col min="24" max="24" width="11" style="117" bestFit="1" customWidth="1"/>
    <col min="25" max="25" width="9" style="117" bestFit="1" customWidth="1"/>
    <col min="26" max="26" width="17.28515625" style="117" bestFit="1" customWidth="1"/>
    <col min="27" max="27" width="11" style="117" bestFit="1" customWidth="1"/>
    <col min="28" max="28" width="9" style="117" bestFit="1" customWidth="1"/>
    <col min="29" max="29" width="17.28515625" style="117" bestFit="1" customWidth="1"/>
    <col min="30" max="30" width="11" style="117" bestFit="1" customWidth="1"/>
    <col min="31" max="31" width="9" style="117" bestFit="1" customWidth="1"/>
    <col min="32" max="32" width="17.28515625" style="117" bestFit="1" customWidth="1"/>
    <col min="33" max="33" width="11" style="117" bestFit="1" customWidth="1"/>
    <col min="34" max="34" width="9" style="117" bestFit="1" customWidth="1"/>
    <col min="35" max="35" width="17.28515625" style="117" bestFit="1" customWidth="1"/>
    <col min="36" max="36" width="11" style="117" bestFit="1" customWidth="1"/>
    <col min="37" max="37" width="9" style="117" bestFit="1" customWidth="1"/>
    <col min="38" max="38" width="17.28515625" style="117" bestFit="1" customWidth="1"/>
    <col min="39" max="39" width="11" style="117" bestFit="1" customWidth="1"/>
    <col min="40" max="40" width="9" style="117" bestFit="1" customWidth="1"/>
    <col min="41" max="41" width="29.5703125" style="117" bestFit="1" customWidth="1"/>
    <col min="42" max="42" width="16" style="117" customWidth="1"/>
    <col min="43" max="43" width="27.42578125" style="117" bestFit="1" customWidth="1"/>
    <col min="44" max="16384" width="8.85546875" style="117"/>
  </cols>
  <sheetData>
    <row r="1" spans="1:45" ht="38.450000000000003" customHeight="1">
      <c r="A1" s="109"/>
      <c r="B1" s="109"/>
      <c r="C1" s="110"/>
      <c r="D1" s="111"/>
      <c r="E1" s="461" t="s">
        <v>144</v>
      </c>
      <c r="F1" s="461"/>
      <c r="G1" s="461"/>
      <c r="H1" s="461"/>
      <c r="I1" s="461"/>
      <c r="J1" s="461"/>
      <c r="K1" s="461"/>
      <c r="L1" s="461"/>
      <c r="M1" s="461"/>
      <c r="N1" s="461"/>
      <c r="O1" s="461"/>
      <c r="P1" s="461"/>
      <c r="Q1" s="112"/>
      <c r="R1" s="113"/>
      <c r="S1" s="114"/>
      <c r="T1" s="115"/>
      <c r="U1" s="109"/>
      <c r="V1" s="109"/>
      <c r="W1" s="109"/>
      <c r="X1" s="109"/>
      <c r="Y1" s="109"/>
      <c r="Z1" s="109"/>
      <c r="AA1" s="109"/>
      <c r="AB1" s="109"/>
      <c r="AC1" s="109"/>
      <c r="AD1" s="109"/>
      <c r="AE1" s="109"/>
      <c r="AF1" s="109"/>
      <c r="AG1" s="109"/>
      <c r="AH1" s="109"/>
      <c r="AI1" s="109"/>
      <c r="AJ1" s="109"/>
      <c r="AK1" s="109"/>
      <c r="AL1" s="109"/>
      <c r="AM1" s="109"/>
      <c r="AN1" s="109"/>
      <c r="AO1" s="109"/>
      <c r="AP1" s="116" t="s">
        <v>288</v>
      </c>
      <c r="AQ1" s="116" t="s">
        <v>73</v>
      </c>
      <c r="AR1" s="115"/>
      <c r="AS1" s="109"/>
    </row>
    <row r="2" spans="1:45">
      <c r="A2" s="118"/>
      <c r="B2" s="119"/>
      <c r="C2" s="119"/>
      <c r="D2" s="120"/>
      <c r="E2" s="121" t="s">
        <v>145</v>
      </c>
      <c r="F2" s="121"/>
      <c r="G2" s="121" t="s">
        <v>274</v>
      </c>
      <c r="H2" s="122">
        <v>145</v>
      </c>
      <c r="I2" s="121" t="s">
        <v>274</v>
      </c>
      <c r="J2" s="122">
        <v>1.53</v>
      </c>
      <c r="K2" s="122">
        <v>1.06</v>
      </c>
      <c r="L2" s="122">
        <v>1000</v>
      </c>
      <c r="M2" s="121" t="s">
        <v>274</v>
      </c>
      <c r="N2" s="121"/>
      <c r="O2" s="462" t="str">
        <f>CONCATENATE(T29,X29,Y29)</f>
        <v>% utilization of sugar 88 %</v>
      </c>
      <c r="P2" s="463"/>
      <c r="Q2" s="464" t="str">
        <f>+E3</f>
        <v>°Oechsle</v>
      </c>
      <c r="R2" s="465"/>
      <c r="S2" s="465"/>
      <c r="T2" s="458" t="str">
        <f>+G3</f>
        <v>°Balling</v>
      </c>
      <c r="U2" s="458"/>
      <c r="V2" s="458"/>
      <c r="W2" s="458" t="str">
        <f>+H3</f>
        <v>°Baume</v>
      </c>
      <c r="X2" s="458"/>
      <c r="Y2" s="458"/>
      <c r="Z2" s="458" t="str">
        <f>+I3</f>
        <v>°Brix</v>
      </c>
      <c r="AA2" s="458"/>
      <c r="AB2" s="458"/>
      <c r="AC2" s="458" t="str">
        <f>+J3</f>
        <v>°KMW</v>
      </c>
      <c r="AD2" s="458"/>
      <c r="AE2" s="458"/>
      <c r="AF2" s="458" t="str">
        <f>+K3</f>
        <v>°NM</v>
      </c>
      <c r="AG2" s="458"/>
      <c r="AH2" s="458"/>
      <c r="AI2" s="458" t="str">
        <f>+L3</f>
        <v>°Oechsle</v>
      </c>
      <c r="AJ2" s="458"/>
      <c r="AK2" s="458"/>
      <c r="AL2" s="458" t="str">
        <f>+M3</f>
        <v>°Plato</v>
      </c>
      <c r="AM2" s="458"/>
      <c r="AN2" s="458"/>
      <c r="AO2" s="123">
        <f>+ROUNDDOWN(Fermentation!G7,0)</f>
        <v>28</v>
      </c>
      <c r="AP2" s="124"/>
      <c r="AQ2" s="125"/>
      <c r="AR2" s="126"/>
      <c r="AS2" s="109"/>
    </row>
    <row r="3" spans="1:45" ht="18.75">
      <c r="A3" s="118"/>
      <c r="B3" s="119"/>
      <c r="C3" s="119"/>
      <c r="D3" s="120"/>
      <c r="E3" s="127" t="s">
        <v>109</v>
      </c>
      <c r="F3" s="128" t="s">
        <v>250</v>
      </c>
      <c r="G3" s="129" t="s">
        <v>105</v>
      </c>
      <c r="H3" s="127" t="s">
        <v>108</v>
      </c>
      <c r="I3" s="129" t="s">
        <v>104</v>
      </c>
      <c r="J3" s="127" t="s">
        <v>107</v>
      </c>
      <c r="K3" s="129" t="s">
        <v>106</v>
      </c>
      <c r="L3" s="127" t="s">
        <v>109</v>
      </c>
      <c r="M3" s="129" t="s">
        <v>275</v>
      </c>
      <c r="N3" s="127" t="s">
        <v>294</v>
      </c>
      <c r="O3" s="127" t="s">
        <v>293</v>
      </c>
      <c r="P3" s="130" t="s">
        <v>296</v>
      </c>
      <c r="Q3" s="131"/>
      <c r="R3" s="131" t="str">
        <f>+Fermentation!D4</f>
        <v>Measured</v>
      </c>
      <c r="S3" s="132" t="str">
        <f>+Fermentation!E4</f>
        <v>Desired</v>
      </c>
      <c r="T3" s="131"/>
      <c r="U3" s="133" t="str">
        <f>+R3</f>
        <v>Measured</v>
      </c>
      <c r="V3" s="134" t="str">
        <f>+S3</f>
        <v>Desired</v>
      </c>
      <c r="W3" s="135"/>
      <c r="X3" s="131" t="str">
        <f>+R3</f>
        <v>Measured</v>
      </c>
      <c r="Y3" s="132" t="str">
        <f>+S3</f>
        <v>Desired</v>
      </c>
      <c r="Z3" s="135"/>
      <c r="AA3" s="131" t="str">
        <f>+X3</f>
        <v>Measured</v>
      </c>
      <c r="AB3" s="131" t="str">
        <f>+Y3</f>
        <v>Desired</v>
      </c>
      <c r="AC3" s="135"/>
      <c r="AD3" s="131" t="str">
        <f>+AA3</f>
        <v>Measured</v>
      </c>
      <c r="AE3" s="132" t="str">
        <f>+AB3</f>
        <v>Desired</v>
      </c>
      <c r="AF3" s="135"/>
      <c r="AG3" s="131" t="str">
        <f>+AD3</f>
        <v>Measured</v>
      </c>
      <c r="AH3" s="132" t="str">
        <f>+AE3</f>
        <v>Desired</v>
      </c>
      <c r="AI3" s="135"/>
      <c r="AJ3" s="131" t="str">
        <f>+AG3</f>
        <v>Measured</v>
      </c>
      <c r="AK3" s="132" t="str">
        <f>+AH3</f>
        <v>Desired</v>
      </c>
      <c r="AL3" s="135"/>
      <c r="AM3" s="131" t="str">
        <f>+AJ3</f>
        <v>Measured</v>
      </c>
      <c r="AN3" s="132" t="str">
        <f>+AK3</f>
        <v>Desired</v>
      </c>
      <c r="AO3" s="136" t="str">
        <f>VLOOKUP($AO$2,$AP$3:$AQ$8,2)</f>
        <v>Medium wine from 12 g/l to 45 g/l</v>
      </c>
      <c r="AP3" s="123">
        <v>0</v>
      </c>
      <c r="AQ3" s="124" t="s">
        <v>328</v>
      </c>
      <c r="AR3" s="109"/>
      <c r="AS3" s="109"/>
    </row>
    <row r="4" spans="1:45" ht="18.75">
      <c r="A4" s="118"/>
      <c r="B4" s="119"/>
      <c r="C4" s="119"/>
      <c r="D4" s="120"/>
      <c r="E4" s="137" t="s">
        <v>272</v>
      </c>
      <c r="F4" s="138" t="s">
        <v>271</v>
      </c>
      <c r="G4" s="139" t="s">
        <v>136</v>
      </c>
      <c r="H4" s="137" t="s">
        <v>273</v>
      </c>
      <c r="I4" s="139" t="s">
        <v>136</v>
      </c>
      <c r="J4" s="137" t="s">
        <v>307</v>
      </c>
      <c r="K4" s="139" t="s">
        <v>306</v>
      </c>
      <c r="L4" s="137" t="s">
        <v>276</v>
      </c>
      <c r="M4" s="139" t="s">
        <v>136</v>
      </c>
      <c r="N4" s="137" t="s">
        <v>292</v>
      </c>
      <c r="O4" s="137" t="s">
        <v>287</v>
      </c>
      <c r="P4" s="137" t="s">
        <v>287</v>
      </c>
      <c r="Q4" s="140" t="str">
        <f>+L3</f>
        <v>°Oechsle</v>
      </c>
      <c r="R4" s="140">
        <f>+Fermentation!D5</f>
        <v>76</v>
      </c>
      <c r="S4" s="141">
        <f>+Fermentation!E5</f>
        <v>90</v>
      </c>
      <c r="T4" s="142" t="str">
        <f>+T2</f>
        <v>°Balling</v>
      </c>
      <c r="U4" s="136">
        <f>+R7</f>
        <v>18.425082408057506</v>
      </c>
      <c r="V4" s="143">
        <f>+S7</f>
        <v>21.570563832900007</v>
      </c>
      <c r="W4" s="144" t="str">
        <f>+W2</f>
        <v>°Baume</v>
      </c>
      <c r="X4" s="136">
        <f>+R10</f>
        <v>10.241635687732355</v>
      </c>
      <c r="Y4" s="143">
        <f>+S10</f>
        <v>11.972477064220186</v>
      </c>
      <c r="Z4" s="144" t="str">
        <f>+Z2</f>
        <v>°Brix</v>
      </c>
      <c r="AA4" s="136">
        <f>+R13</f>
        <v>18.423724459904179</v>
      </c>
      <c r="AB4" s="136">
        <f>+S13</f>
        <v>21.571707366000169</v>
      </c>
      <c r="AC4" s="144" t="str">
        <f>+AC2</f>
        <v>°KMW</v>
      </c>
      <c r="AD4" s="136">
        <f>+R16</f>
        <v>15.669702602230503</v>
      </c>
      <c r="AE4" s="143">
        <f>+S16</f>
        <v>18.317889908256884</v>
      </c>
      <c r="AF4" s="144" t="str">
        <f>+AF2</f>
        <v>°NM</v>
      </c>
      <c r="AG4" s="136">
        <f>+R19</f>
        <v>16.609884758364334</v>
      </c>
      <c r="AH4" s="143">
        <f>+S19</f>
        <v>19.416963302752297</v>
      </c>
      <c r="AI4" s="144" t="str">
        <f>+AI2</f>
        <v>°Oechsle</v>
      </c>
      <c r="AJ4" s="136">
        <f>+R22</f>
        <v>76.000000000000071</v>
      </c>
      <c r="AK4" s="143">
        <f>+S22</f>
        <v>90.000000000000085</v>
      </c>
      <c r="AL4" s="144" t="str">
        <f>+AL2</f>
        <v>°Plato</v>
      </c>
      <c r="AM4" s="136">
        <f>+R25</f>
        <v>18.425416363072031</v>
      </c>
      <c r="AN4" s="143">
        <f>+S25</f>
        <v>21.568495713000061</v>
      </c>
      <c r="AO4" s="109"/>
      <c r="AP4" s="123">
        <v>4</v>
      </c>
      <c r="AQ4" s="124" t="s">
        <v>329</v>
      </c>
      <c r="AR4" s="109"/>
      <c r="AS4" s="109"/>
    </row>
    <row r="5" spans="1:45" ht="22.15" customHeight="1">
      <c r="A5" s="118"/>
      <c r="B5" s="119"/>
      <c r="C5" s="446" t="s">
        <v>317</v>
      </c>
      <c r="D5" s="120"/>
      <c r="E5" s="145">
        <v>0</v>
      </c>
      <c r="F5" s="146">
        <f t="shared" ref="F5:F34" si="0">(E5+1000)/1000</f>
        <v>1</v>
      </c>
      <c r="G5" s="147">
        <f t="shared" ref="G5:G36" si="1">+((($Z$18*F5-$Z$19)*F5+$Z$20)*F5-$Z$21)</f>
        <v>-4.8000000000456566E-3</v>
      </c>
      <c r="H5" s="148">
        <f t="shared" ref="H5:H34" si="2">+$H$2-($H$2/F5)</f>
        <v>0</v>
      </c>
      <c r="I5" s="147">
        <f t="shared" ref="I5:I36" si="3">($Z$11*F5^3)-($Z$12*F5^2)+($Z$13*F5)-$Z$14</f>
        <v>0</v>
      </c>
      <c r="J5" s="147">
        <f t="shared" ref="J5:J34" si="4">+H5*$J$2</f>
        <v>0</v>
      </c>
      <c r="K5" s="147">
        <f>+J5*$K$2</f>
        <v>0</v>
      </c>
      <c r="L5" s="149">
        <f t="shared" ref="L5:L34" si="5">+$L$2*(F5-1)</f>
        <v>0</v>
      </c>
      <c r="M5" s="147">
        <f t="shared" ref="M5:M36" si="6">+((($Z$22*F5-$Z$23)*F5+$Z$24)*F5-$Z$25)</f>
        <v>-3.0000000000427463E-3</v>
      </c>
      <c r="N5" s="148">
        <f t="shared" ref="N5:N34" si="7">F5*(I5*10)</f>
        <v>0</v>
      </c>
      <c r="O5" s="148">
        <f t="shared" ref="O5:O36" si="8">+P5*$Z$31</f>
        <v>0</v>
      </c>
      <c r="P5" s="148">
        <f t="shared" ref="P5:P36" si="9">+(((N5/$Z$26)*$Z$27)/$Z$28)/$Z$29</f>
        <v>0</v>
      </c>
      <c r="Q5" s="140" t="str">
        <f>+N3</f>
        <v>Dissolved sugar</v>
      </c>
      <c r="R5" s="150">
        <f>VLOOKUP($R$4,$E$5:$P$155,10)</f>
        <v>198.23927518856897</v>
      </c>
      <c r="S5" s="151">
        <f>VLOOKUP($S$4,$E$5:$P$155,10)</f>
        <v>235.13161028940186</v>
      </c>
      <c r="T5" s="142" t="str">
        <f>+N3</f>
        <v>Dissolved sugar</v>
      </c>
      <c r="U5" s="150">
        <f>VLOOKUP($U$4,$G$5:$P$155,8)</f>
        <v>198.23927518856897</v>
      </c>
      <c r="V5" s="151">
        <f>VLOOKUP($V$4,$G$5:$P$155,8)</f>
        <v>235.13161028940186</v>
      </c>
      <c r="W5" s="144" t="str">
        <f>+N3</f>
        <v>Dissolved sugar</v>
      </c>
      <c r="X5" s="150">
        <f>VLOOKUP($X$4,$H$5:$P$155,7)</f>
        <v>198.23927518856897</v>
      </c>
      <c r="Y5" s="151">
        <f>VLOOKUP($Y$4,$H$5:$P$155,7)</f>
        <v>235.13161028940186</v>
      </c>
      <c r="Z5" s="144" t="str">
        <f>+W5</f>
        <v>Dissolved sugar</v>
      </c>
      <c r="AA5" s="150">
        <f>VLOOKUP($AA$4,$I$5:$P$155,6)</f>
        <v>198.23927518856897</v>
      </c>
      <c r="AB5" s="150">
        <f>VLOOKUP($AB$4,$I$5:$P$155,6)</f>
        <v>235.13161028940186</v>
      </c>
      <c r="AC5" s="144" t="str">
        <f>+Z5</f>
        <v>Dissolved sugar</v>
      </c>
      <c r="AD5" s="150">
        <f>VLOOKUP($AD$4,$J$5:$P$155,5)</f>
        <v>198.23927518856897</v>
      </c>
      <c r="AE5" s="151">
        <f>VLOOKUP($AE$4,$J$5:$P$155,5)</f>
        <v>235.13161028940186</v>
      </c>
      <c r="AF5" s="144" t="str">
        <f>+AC5</f>
        <v>Dissolved sugar</v>
      </c>
      <c r="AG5" s="150">
        <f>VLOOKUP($AG$4,$K$5:$P$155,4)</f>
        <v>198.23927518856897</v>
      </c>
      <c r="AH5" s="151">
        <f>VLOOKUP($AH$4,$K$5:$P$155,4)</f>
        <v>235.13161028940186</v>
      </c>
      <c r="AI5" s="144" t="str">
        <f>+AF5</f>
        <v>Dissolved sugar</v>
      </c>
      <c r="AJ5" s="150">
        <f>VLOOKUP($AJ$4,$L$5:$P$155,3)</f>
        <v>198.23927518856897</v>
      </c>
      <c r="AK5" s="151">
        <f>VLOOKUP($AK$4,$L$5:$P$155,3)</f>
        <v>235.13161028940186</v>
      </c>
      <c r="AL5" s="144" t="str">
        <f>+AI5</f>
        <v>Dissolved sugar</v>
      </c>
      <c r="AM5" s="150">
        <f>VLOOKUP($AM$4,$M$5:$P$155,2)</f>
        <v>198.23927518856897</v>
      </c>
      <c r="AN5" s="151">
        <f>VLOOKUP($AN$4,$M$5:$P$155,2)</f>
        <v>235.13161028940186</v>
      </c>
      <c r="AO5" s="109"/>
      <c r="AP5" s="123">
        <v>9</v>
      </c>
      <c r="AQ5" s="152" t="s">
        <v>330</v>
      </c>
      <c r="AR5" s="109"/>
      <c r="AS5" s="109"/>
    </row>
    <row r="6" spans="1:45" ht="22.15" customHeight="1">
      <c r="A6" s="118"/>
      <c r="B6" s="119"/>
      <c r="C6" s="447"/>
      <c r="D6" s="120"/>
      <c r="E6" s="153">
        <v>1</v>
      </c>
      <c r="F6" s="146">
        <f t="shared" si="0"/>
        <v>1.0009999999999999</v>
      </c>
      <c r="G6" s="147">
        <f t="shared" si="1"/>
        <v>0.2537673806600651</v>
      </c>
      <c r="H6" s="148">
        <f t="shared" si="2"/>
        <v>0.14485514485514273</v>
      </c>
      <c r="I6" s="147">
        <f t="shared" si="3"/>
        <v>0.25800823525412397</v>
      </c>
      <c r="J6" s="147">
        <f t="shared" si="4"/>
        <v>0.22162837162836838</v>
      </c>
      <c r="K6" s="147">
        <f t="shared" ref="K6:K69" si="10">+J6*$K$2</f>
        <v>0.23492607392607048</v>
      </c>
      <c r="L6" s="149">
        <f t="shared" si="5"/>
        <v>0.99999999999988987</v>
      </c>
      <c r="M6" s="147">
        <f t="shared" si="6"/>
        <v>0.25536485499696937</v>
      </c>
      <c r="N6" s="148">
        <f t="shared" si="7"/>
        <v>2.5826624348937806</v>
      </c>
      <c r="O6" s="148">
        <f t="shared" si="8"/>
        <v>0.15507233337013873</v>
      </c>
      <c r="P6" s="148">
        <f t="shared" si="9"/>
        <v>0.17621856064788491</v>
      </c>
      <c r="Q6" s="140" t="str">
        <f>+O3</f>
        <v>Potentiel vol%</v>
      </c>
      <c r="R6" s="150">
        <f>VLOOKUP($R$4,$E$5:$P$155,11)</f>
        <v>11.902998453749055</v>
      </c>
      <c r="S6" s="151">
        <f>VLOOKUP($S$4,$E$5:$P$155,11)</f>
        <v>14.118146825547214</v>
      </c>
      <c r="T6" s="154" t="str">
        <f>+O3</f>
        <v>Potentiel vol%</v>
      </c>
      <c r="U6" s="155">
        <f>VLOOKUP($U$4,$G$5:$P$155,9)</f>
        <v>11.902998453749055</v>
      </c>
      <c r="V6" s="156">
        <f>VLOOKUP($V$4,$G$5:$P$155,9)</f>
        <v>14.118146825547214</v>
      </c>
      <c r="W6" s="157" t="str">
        <f>+O3</f>
        <v>Potentiel vol%</v>
      </c>
      <c r="X6" s="155">
        <f>VLOOKUP($X$4,$H$5:$P$155,8)</f>
        <v>11.902998453749055</v>
      </c>
      <c r="Y6" s="156">
        <f>VLOOKUP($Y$4,$H$35:$P$151,8)</f>
        <v>14.118146825547214</v>
      </c>
      <c r="Z6" s="157" t="str">
        <f>+W6</f>
        <v>Potentiel vol%</v>
      </c>
      <c r="AA6" s="155">
        <f>VLOOKUP($AA$4,$I$5:$P$155,7)</f>
        <v>11.902998453749055</v>
      </c>
      <c r="AB6" s="155">
        <f>VLOOKUP($AB$4,$I$5:$P$155,7)</f>
        <v>14.118146825547214</v>
      </c>
      <c r="AC6" s="157" t="str">
        <f>+Z6</f>
        <v>Potentiel vol%</v>
      </c>
      <c r="AD6" s="155">
        <f>VLOOKUP($AD$4,$J$5:$P$155,6)</f>
        <v>11.902998453749055</v>
      </c>
      <c r="AE6" s="156">
        <f>VLOOKUP($AE$4,$J$5:$P$155,6)</f>
        <v>14.118146825547214</v>
      </c>
      <c r="AF6" s="157" t="str">
        <f>+AC6</f>
        <v>Potentiel vol%</v>
      </c>
      <c r="AG6" s="155">
        <f>VLOOKUP($AG$4,$K$5:$P$155,5)</f>
        <v>11.902998453749055</v>
      </c>
      <c r="AH6" s="156">
        <f>VLOOKUP($AH$4,$K$5:$P$155,5)</f>
        <v>14.118146825547214</v>
      </c>
      <c r="AI6" s="157" t="str">
        <f>+AF6</f>
        <v>Potentiel vol%</v>
      </c>
      <c r="AJ6" s="155">
        <f>VLOOKUP($AJ$4,$L$5:$P$155,4)</f>
        <v>11.902998453749055</v>
      </c>
      <c r="AK6" s="156">
        <f>VLOOKUP($AK$4,$L$5:$P$155,4)</f>
        <v>14.118146825547214</v>
      </c>
      <c r="AL6" s="157" t="str">
        <f>+AI6</f>
        <v>Potentiel vol%</v>
      </c>
      <c r="AM6" s="155">
        <f>VLOOKUP($AM$4,$M$5:$P$155,3)</f>
        <v>11.902998453749055</v>
      </c>
      <c r="AN6" s="156">
        <f>VLOOKUP($AN$4,$M$5:$P$155,3)</f>
        <v>14.118146825547214</v>
      </c>
      <c r="AO6" s="109"/>
      <c r="AP6" s="158">
        <v>12</v>
      </c>
      <c r="AQ6" s="152" t="s">
        <v>331</v>
      </c>
      <c r="AR6" s="109"/>
      <c r="AS6" s="109"/>
    </row>
    <row r="7" spans="1:45" ht="22.15" customHeight="1">
      <c r="A7" s="118"/>
      <c r="B7" s="119"/>
      <c r="C7" s="447"/>
      <c r="D7" s="120"/>
      <c r="E7" s="145">
        <v>2</v>
      </c>
      <c r="F7" s="146">
        <f t="shared" si="0"/>
        <v>1.002</v>
      </c>
      <c r="G7" s="147">
        <f t="shared" si="1"/>
        <v>0.51187925248075317</v>
      </c>
      <c r="H7" s="148">
        <f t="shared" si="2"/>
        <v>0.28942115768464305</v>
      </c>
      <c r="I7" s="147">
        <f t="shared" si="3"/>
        <v>0.51557951403219704</v>
      </c>
      <c r="J7" s="147">
        <f t="shared" si="4"/>
        <v>0.44281437125750389</v>
      </c>
      <c r="K7" s="147">
        <f t="shared" si="10"/>
        <v>0.46938323353295414</v>
      </c>
      <c r="L7" s="149">
        <f t="shared" si="5"/>
        <v>2.0000000000000018</v>
      </c>
      <c r="M7" s="147">
        <f t="shared" si="6"/>
        <v>0.51328596397604542</v>
      </c>
      <c r="N7" s="148">
        <f t="shared" si="7"/>
        <v>5.166106730602614</v>
      </c>
      <c r="O7" s="148">
        <f t="shared" si="8"/>
        <v>0.31019161247322452</v>
      </c>
      <c r="P7" s="148">
        <f t="shared" si="9"/>
        <v>0.35249046871957329</v>
      </c>
      <c r="Q7" s="131" t="str">
        <f>+T2</f>
        <v>°Balling</v>
      </c>
      <c r="R7" s="159">
        <f>VLOOKUP($R$4,$E$5:$P$155,3)</f>
        <v>18.425082408057506</v>
      </c>
      <c r="S7" s="160">
        <f>VLOOKUP($S$4,$E$5:$P$155,3)</f>
        <v>21.570563832900007</v>
      </c>
      <c r="T7" s="161"/>
      <c r="U7" s="161"/>
      <c r="V7" s="161"/>
      <c r="W7" s="161"/>
      <c r="X7" s="162"/>
      <c r="Y7" s="162"/>
      <c r="Z7" s="161"/>
      <c r="AA7" s="162"/>
      <c r="AB7" s="162"/>
      <c r="AC7" s="161"/>
      <c r="AD7" s="162"/>
      <c r="AE7" s="162"/>
      <c r="AF7" s="161"/>
      <c r="AG7" s="162"/>
      <c r="AH7" s="162"/>
      <c r="AI7" s="161"/>
      <c r="AJ7" s="162"/>
      <c r="AK7" s="162"/>
      <c r="AL7" s="109"/>
      <c r="AM7" s="109"/>
      <c r="AN7" s="109"/>
      <c r="AO7" s="109"/>
      <c r="AP7" s="158">
        <v>45</v>
      </c>
      <c r="AQ7" s="152" t="s">
        <v>239</v>
      </c>
      <c r="AR7" s="109"/>
      <c r="AS7" s="109"/>
    </row>
    <row r="8" spans="1:45" ht="22.15" customHeight="1">
      <c r="A8" s="118"/>
      <c r="B8" s="119"/>
      <c r="C8" s="447"/>
      <c r="D8" s="120"/>
      <c r="E8" s="153">
        <v>3</v>
      </c>
      <c r="F8" s="146">
        <f t="shared" si="0"/>
        <v>1.0029999999999999</v>
      </c>
      <c r="G8" s="147">
        <f t="shared" si="1"/>
        <v>0.76953671022261005</v>
      </c>
      <c r="H8" s="148">
        <f t="shared" si="2"/>
        <v>0.43369890329012151</v>
      </c>
      <c r="I8" s="147">
        <f t="shared" si="3"/>
        <v>0.77271469585809882</v>
      </c>
      <c r="J8" s="147">
        <f t="shared" si="4"/>
        <v>0.6635593220338859</v>
      </c>
      <c r="K8" s="147">
        <f t="shared" si="10"/>
        <v>0.70337288135591913</v>
      </c>
      <c r="L8" s="149">
        <f t="shared" si="5"/>
        <v>2.9999999999998916</v>
      </c>
      <c r="M8" s="147">
        <f t="shared" si="6"/>
        <v>0.77076414291900619</v>
      </c>
      <c r="N8" s="148">
        <f t="shared" si="7"/>
        <v>7.7503283994567305</v>
      </c>
      <c r="O8" s="148">
        <f t="shared" si="8"/>
        <v>0.46535756785343796</v>
      </c>
      <c r="P8" s="148">
        <f t="shared" si="9"/>
        <v>0.52881541801527043</v>
      </c>
      <c r="Q8" s="140" t="str">
        <f>+Q5</f>
        <v>Dissolved sugar</v>
      </c>
      <c r="R8" s="150">
        <f>VLOOKUP($R$4,$E$5:$P$155,10)</f>
        <v>198.23927518856897</v>
      </c>
      <c r="S8" s="151">
        <f>VLOOKUP($S$4,$E$5:$P$155,10)</f>
        <v>235.13161028940186</v>
      </c>
      <c r="T8" s="163" t="s">
        <v>102</v>
      </c>
      <c r="U8" s="164"/>
      <c r="V8" s="164"/>
      <c r="W8" s="161"/>
      <c r="X8" s="164"/>
      <c r="Y8" s="164"/>
      <c r="Z8" s="161"/>
      <c r="AA8" s="164"/>
      <c r="AB8" s="164"/>
      <c r="AC8" s="161"/>
      <c r="AD8" s="161"/>
      <c r="AE8" s="165"/>
      <c r="AF8" s="166"/>
      <c r="AG8" s="161"/>
      <c r="AH8" s="161"/>
      <c r="AI8" s="161"/>
      <c r="AJ8" s="164"/>
      <c r="AK8" s="164"/>
      <c r="AL8" s="109"/>
      <c r="AM8" s="109"/>
      <c r="AN8" s="109"/>
      <c r="AO8" s="109"/>
      <c r="AP8" s="158">
        <v>500</v>
      </c>
      <c r="AQ8" s="152"/>
      <c r="AR8" s="109"/>
      <c r="AS8" s="109"/>
    </row>
    <row r="9" spans="1:45" ht="22.15" customHeight="1">
      <c r="A9" s="118"/>
      <c r="B9" s="119"/>
      <c r="C9" s="447"/>
      <c r="D9" s="120"/>
      <c r="E9" s="145">
        <v>4</v>
      </c>
      <c r="F9" s="146">
        <f t="shared" si="0"/>
        <v>1.004</v>
      </c>
      <c r="G9" s="147">
        <f t="shared" si="1"/>
        <v>1.0267408486464547</v>
      </c>
      <c r="H9" s="148">
        <f t="shared" si="2"/>
        <v>0.5776892430278906</v>
      </c>
      <c r="I9" s="147">
        <f t="shared" si="3"/>
        <v>1.02941464025605</v>
      </c>
      <c r="J9" s="147">
        <f t="shared" si="4"/>
        <v>0.8838645418326726</v>
      </c>
      <c r="K9" s="147">
        <f t="shared" si="10"/>
        <v>0.93689641434263304</v>
      </c>
      <c r="L9" s="149">
        <f t="shared" si="5"/>
        <v>4.0000000000000036</v>
      </c>
      <c r="M9" s="147">
        <f t="shared" si="6"/>
        <v>1.0278002078080135</v>
      </c>
      <c r="N9" s="148">
        <f t="shared" si="7"/>
        <v>10.335322988170741</v>
      </c>
      <c r="O9" s="148">
        <f t="shared" si="8"/>
        <v>0.62056993211952161</v>
      </c>
      <c r="P9" s="148">
        <f t="shared" si="9"/>
        <v>0.7051931046812745</v>
      </c>
      <c r="Q9" s="167" t="str">
        <f>+Q6</f>
        <v>Potentiel vol%</v>
      </c>
      <c r="R9" s="155">
        <f>VLOOKUP($R$4,$E$5:$P$155,11)</f>
        <v>11.902998453749055</v>
      </c>
      <c r="S9" s="156">
        <f>VLOOKUP($S$4,$E$5:$P$155,11)</f>
        <v>14.118146825547214</v>
      </c>
      <c r="T9" s="124"/>
      <c r="U9" s="162"/>
      <c r="V9" s="162"/>
      <c r="W9" s="161"/>
      <c r="X9" s="162"/>
      <c r="Y9" s="162"/>
      <c r="Z9" s="161"/>
      <c r="AA9" s="162"/>
      <c r="AB9" s="162"/>
      <c r="AC9" s="168"/>
      <c r="AD9" s="168"/>
      <c r="AE9" s="168"/>
      <c r="AF9" s="168"/>
      <c r="AG9" s="168"/>
      <c r="AH9" s="168"/>
      <c r="AI9" s="161"/>
      <c r="AJ9" s="162"/>
      <c r="AK9" s="162"/>
      <c r="AL9" s="109"/>
      <c r="AM9" s="109"/>
      <c r="AN9" s="109"/>
      <c r="AO9" s="109"/>
      <c r="AP9" s="169"/>
      <c r="AQ9" s="169"/>
      <c r="AR9" s="161"/>
      <c r="AS9" s="109"/>
    </row>
    <row r="10" spans="1:45" ht="22.15" customHeight="1">
      <c r="A10" s="170"/>
      <c r="B10" s="119"/>
      <c r="C10" s="447"/>
      <c r="D10" s="120"/>
      <c r="E10" s="153">
        <v>5</v>
      </c>
      <c r="F10" s="146">
        <f t="shared" si="0"/>
        <v>1.0049999999999999</v>
      </c>
      <c r="G10" s="147">
        <f t="shared" si="1"/>
        <v>1.2834927625124237</v>
      </c>
      <c r="H10" s="148">
        <f t="shared" si="2"/>
        <v>0.7213930348258657</v>
      </c>
      <c r="I10" s="147">
        <f t="shared" si="3"/>
        <v>1.2856802067501576</v>
      </c>
      <c r="J10" s="147">
        <f t="shared" si="4"/>
        <v>1.1037313432835745</v>
      </c>
      <c r="K10" s="147">
        <f t="shared" si="10"/>
        <v>1.169955223880589</v>
      </c>
      <c r="L10" s="149">
        <f t="shared" si="5"/>
        <v>4.9999999999998934</v>
      </c>
      <c r="M10" s="147">
        <f t="shared" si="6"/>
        <v>1.2843949746250019</v>
      </c>
      <c r="N10" s="148">
        <f t="shared" si="7"/>
        <v>12.921086077839082</v>
      </c>
      <c r="O10" s="148">
        <f t="shared" si="8"/>
        <v>0.77582843994450568</v>
      </c>
      <c r="P10" s="148">
        <f t="shared" si="9"/>
        <v>0.88162322720966557</v>
      </c>
      <c r="Q10" s="131" t="str">
        <f>+W2</f>
        <v>°Baume</v>
      </c>
      <c r="R10" s="159">
        <f>VLOOKUP($R$4,$E$5:$P$155,4)</f>
        <v>10.241635687732355</v>
      </c>
      <c r="S10" s="160">
        <f>VLOOKUP($S$4,$E$5:$P$155,4)</f>
        <v>11.972477064220186</v>
      </c>
      <c r="T10" s="123">
        <v>0</v>
      </c>
      <c r="U10" s="171" t="s">
        <v>230</v>
      </c>
      <c r="V10" s="172"/>
      <c r="W10" s="172"/>
      <c r="X10" s="172"/>
      <c r="Y10" s="173"/>
      <c r="Z10" s="174" t="s">
        <v>145</v>
      </c>
      <c r="AA10" s="166"/>
      <c r="AB10" s="166"/>
      <c r="AC10" s="175"/>
      <c r="AD10" s="176"/>
      <c r="AE10" s="176"/>
      <c r="AF10" s="176"/>
      <c r="AG10" s="175"/>
      <c r="AH10" s="177"/>
      <c r="AI10" s="161"/>
      <c r="AJ10" s="162"/>
      <c r="AK10" s="162"/>
      <c r="AL10" s="109"/>
      <c r="AM10" s="178"/>
      <c r="AN10" s="109"/>
      <c r="AO10" s="109"/>
      <c r="AP10" s="179" t="s">
        <v>288</v>
      </c>
      <c r="AQ10" s="180" t="s">
        <v>214</v>
      </c>
      <c r="AR10" s="165"/>
      <c r="AS10" s="109"/>
    </row>
    <row r="11" spans="1:45" ht="22.15" customHeight="1">
      <c r="A11" s="118"/>
      <c r="B11" s="119"/>
      <c r="C11" s="447"/>
      <c r="D11" s="120"/>
      <c r="E11" s="145">
        <v>6</v>
      </c>
      <c r="F11" s="146">
        <f t="shared" si="0"/>
        <v>1.006</v>
      </c>
      <c r="G11" s="147">
        <f t="shared" si="1"/>
        <v>1.5397935465814498</v>
      </c>
      <c r="H11" s="148">
        <f t="shared" si="2"/>
        <v>0.86481113320078862</v>
      </c>
      <c r="I11" s="147">
        <f t="shared" si="3"/>
        <v>1.5415122548641875</v>
      </c>
      <c r="J11" s="147">
        <f t="shared" si="4"/>
        <v>1.3231610337972066</v>
      </c>
      <c r="K11" s="147">
        <f t="shared" si="10"/>
        <v>1.4025506958250391</v>
      </c>
      <c r="L11" s="149">
        <f t="shared" si="5"/>
        <v>6.0000000000000053</v>
      </c>
      <c r="M11" s="147">
        <f t="shared" si="6"/>
        <v>1.540549259352133</v>
      </c>
      <c r="N11" s="148">
        <f t="shared" si="7"/>
        <v>15.507613283933727</v>
      </c>
      <c r="O11" s="148">
        <f t="shared" si="8"/>
        <v>0.93113282806557229</v>
      </c>
      <c r="P11" s="148">
        <f t="shared" si="9"/>
        <v>1.0581054864381503</v>
      </c>
      <c r="Q11" s="140" t="str">
        <f>+Q5</f>
        <v>Dissolved sugar</v>
      </c>
      <c r="R11" s="150">
        <f>VLOOKUP($R$4,$E$5:$P$155,10)</f>
        <v>198.23927518856897</v>
      </c>
      <c r="S11" s="151">
        <f>VLOOKUP($S$4,$E$5:$P$155,10)</f>
        <v>235.13161028940186</v>
      </c>
      <c r="T11" s="123">
        <v>0.2</v>
      </c>
      <c r="U11" s="181" t="s">
        <v>104</v>
      </c>
      <c r="V11" s="150"/>
      <c r="W11" s="142"/>
      <c r="X11" s="142"/>
      <c r="Y11" s="182"/>
      <c r="Z11" s="183">
        <v>143.25399999999999</v>
      </c>
      <c r="AA11" s="161"/>
      <c r="AB11" s="161"/>
      <c r="AC11" s="175"/>
      <c r="AD11" s="166"/>
      <c r="AE11" s="166"/>
      <c r="AF11" s="166"/>
      <c r="AG11" s="175"/>
      <c r="AH11" s="177"/>
      <c r="AI11" s="161"/>
      <c r="AJ11" s="161"/>
      <c r="AK11" s="161"/>
      <c r="AL11" s="109"/>
      <c r="AM11" s="178"/>
      <c r="AN11" s="109"/>
      <c r="AO11" s="109"/>
      <c r="AP11" s="124"/>
      <c r="AQ11" s="119"/>
      <c r="AR11" s="166"/>
      <c r="AS11" s="109"/>
    </row>
    <row r="12" spans="1:45" ht="22.15" customHeight="1">
      <c r="A12" s="118"/>
      <c r="B12" s="119"/>
      <c r="C12" s="447"/>
      <c r="D12" s="120"/>
      <c r="E12" s="153">
        <v>7</v>
      </c>
      <c r="F12" s="146">
        <f t="shared" si="0"/>
        <v>1.0069999999999999</v>
      </c>
      <c r="G12" s="147">
        <f t="shared" si="1"/>
        <v>1.7956442956142382</v>
      </c>
      <c r="H12" s="148">
        <f t="shared" si="2"/>
        <v>1.0079443892750533</v>
      </c>
      <c r="I12" s="147">
        <f t="shared" si="3"/>
        <v>1.7969116441221331</v>
      </c>
      <c r="J12" s="147">
        <f t="shared" si="4"/>
        <v>1.5421549155908314</v>
      </c>
      <c r="K12" s="147">
        <f t="shared" si="10"/>
        <v>1.6346842105262813</v>
      </c>
      <c r="L12" s="149">
        <f t="shared" si="5"/>
        <v>6.9999999999998952</v>
      </c>
      <c r="M12" s="147">
        <f t="shared" si="6"/>
        <v>1.7962638779710005</v>
      </c>
      <c r="N12" s="148">
        <f t="shared" si="7"/>
        <v>18.094900256309877</v>
      </c>
      <c r="O12" s="148">
        <f t="shared" si="8"/>
        <v>1.0864828352843952</v>
      </c>
      <c r="P12" s="148">
        <f t="shared" si="9"/>
        <v>1.2346395855504491</v>
      </c>
      <c r="Q12" s="167" t="str">
        <f>+Q6</f>
        <v>Potentiel vol%</v>
      </c>
      <c r="R12" s="155">
        <f>VLOOKUP($R$4,$E$5:$P$155,11)</f>
        <v>11.902998453749055</v>
      </c>
      <c r="S12" s="156">
        <f>VLOOKUP($S$4,$E$5:$P$155,11)</f>
        <v>14.118146825547214</v>
      </c>
      <c r="T12" s="123">
        <v>0.4</v>
      </c>
      <c r="U12" s="184"/>
      <c r="V12" s="150"/>
      <c r="W12" s="142"/>
      <c r="X12" s="142"/>
      <c r="Y12" s="182"/>
      <c r="Z12" s="185">
        <v>648.66999999999996</v>
      </c>
      <c r="AA12" s="161"/>
      <c r="AB12" s="161"/>
      <c r="AC12" s="161"/>
      <c r="AD12" s="161"/>
      <c r="AE12" s="161"/>
      <c r="AF12" s="161"/>
      <c r="AG12" s="161"/>
      <c r="AH12" s="161"/>
      <c r="AI12" s="161"/>
      <c r="AJ12" s="161"/>
      <c r="AK12" s="161"/>
      <c r="AL12" s="109"/>
      <c r="AM12" s="186"/>
      <c r="AN12" s="109"/>
      <c r="AO12" s="109"/>
      <c r="AP12" s="187">
        <v>3</v>
      </c>
      <c r="AQ12" s="169" t="s">
        <v>217</v>
      </c>
      <c r="AR12" s="161"/>
      <c r="AS12" s="109"/>
    </row>
    <row r="13" spans="1:45" ht="22.15" customHeight="1">
      <c r="A13" s="118"/>
      <c r="B13" s="119"/>
      <c r="C13" s="447"/>
      <c r="D13" s="120"/>
      <c r="E13" s="145">
        <v>8</v>
      </c>
      <c r="F13" s="146">
        <f t="shared" si="0"/>
        <v>1.008</v>
      </c>
      <c r="G13" s="147">
        <f t="shared" si="1"/>
        <v>2.051046104371153</v>
      </c>
      <c r="H13" s="148">
        <f t="shared" si="2"/>
        <v>1.1507936507936449</v>
      </c>
      <c r="I13" s="147">
        <f t="shared" si="3"/>
        <v>2.051879234048215</v>
      </c>
      <c r="J13" s="147">
        <f t="shared" si="4"/>
        <v>1.7607142857142768</v>
      </c>
      <c r="K13" s="147">
        <f t="shared" si="10"/>
        <v>1.8663571428571335</v>
      </c>
      <c r="L13" s="149">
        <f t="shared" si="5"/>
        <v>8.0000000000000071</v>
      </c>
      <c r="M13" s="147">
        <f t="shared" si="6"/>
        <v>2.0515396464638798</v>
      </c>
      <c r="N13" s="148">
        <f t="shared" si="7"/>
        <v>20.682942679206008</v>
      </c>
      <c r="O13" s="148">
        <f t="shared" si="8"/>
        <v>1.2418782024671433</v>
      </c>
      <c r="P13" s="148">
        <f t="shared" si="9"/>
        <v>1.4112252300762993</v>
      </c>
      <c r="Q13" s="131" t="str">
        <f>+Z2</f>
        <v>°Brix</v>
      </c>
      <c r="R13" s="159">
        <f>VLOOKUP($R$4,$E$5:$P$155,5)</f>
        <v>18.423724459904179</v>
      </c>
      <c r="S13" s="160">
        <f>VLOOKUP($S$4,$E$5:$P$155,5)</f>
        <v>21.571707366000169</v>
      </c>
      <c r="T13" s="123">
        <v>0.6</v>
      </c>
      <c r="U13" s="184"/>
      <c r="V13" s="150"/>
      <c r="W13" s="142"/>
      <c r="X13" s="150"/>
      <c r="Y13" s="151"/>
      <c r="Z13" s="185">
        <v>1125.8050000000001</v>
      </c>
      <c r="AA13" s="162"/>
      <c r="AB13" s="162"/>
      <c r="AC13" s="161"/>
      <c r="AD13" s="161"/>
      <c r="AE13" s="165"/>
      <c r="AF13" s="166"/>
      <c r="AG13" s="161"/>
      <c r="AH13" s="161"/>
      <c r="AI13" s="161"/>
      <c r="AJ13" s="162"/>
      <c r="AK13" s="162"/>
      <c r="AL13" s="109"/>
      <c r="AM13" s="186"/>
      <c r="AN13" s="109"/>
      <c r="AO13" s="109"/>
      <c r="AP13" s="158">
        <v>6</v>
      </c>
      <c r="AQ13" s="152" t="s">
        <v>221</v>
      </c>
      <c r="AR13" s="109"/>
      <c r="AS13" s="109"/>
    </row>
    <row r="14" spans="1:45" ht="22.15" customHeight="1">
      <c r="A14" s="118"/>
      <c r="B14" s="119"/>
      <c r="C14" s="447"/>
      <c r="D14" s="120"/>
      <c r="E14" s="153">
        <v>9</v>
      </c>
      <c r="F14" s="146">
        <f t="shared" si="0"/>
        <v>1.0089999999999999</v>
      </c>
      <c r="G14" s="147">
        <f t="shared" si="1"/>
        <v>2.3060000676127856</v>
      </c>
      <c r="H14" s="148">
        <f t="shared" si="2"/>
        <v>1.2933597621407102</v>
      </c>
      <c r="I14" s="147">
        <f t="shared" si="3"/>
        <v>2.3064158841658582</v>
      </c>
      <c r="J14" s="147">
        <f t="shared" si="4"/>
        <v>1.9788404360752867</v>
      </c>
      <c r="K14" s="147">
        <f t="shared" si="10"/>
        <v>2.0975708622398042</v>
      </c>
      <c r="L14" s="149">
        <f t="shared" si="5"/>
        <v>8.999999999999897</v>
      </c>
      <c r="M14" s="147">
        <f t="shared" si="6"/>
        <v>2.306377380812819</v>
      </c>
      <c r="N14" s="148">
        <f t="shared" si="7"/>
        <v>23.271736271233507</v>
      </c>
      <c r="O14" s="148">
        <f t="shared" si="8"/>
        <v>1.3973186725438602</v>
      </c>
      <c r="P14" s="148">
        <f t="shared" si="9"/>
        <v>1.5878621278907503</v>
      </c>
      <c r="Q14" s="136" t="str">
        <f>+Q5</f>
        <v>Dissolved sugar</v>
      </c>
      <c r="R14" s="150">
        <f>VLOOKUP($R$4,$E$5:$P$155,10)</f>
        <v>198.23927518856897</v>
      </c>
      <c r="S14" s="151">
        <f>VLOOKUP($S$4,$E$5:$P$155,10)</f>
        <v>235.13161028940186</v>
      </c>
      <c r="T14" s="123">
        <v>0.8</v>
      </c>
      <c r="U14" s="144"/>
      <c r="V14" s="142"/>
      <c r="W14" s="142"/>
      <c r="X14" s="142"/>
      <c r="Y14" s="182"/>
      <c r="Z14" s="185">
        <v>620.38900000000001</v>
      </c>
      <c r="AA14" s="161"/>
      <c r="AB14" s="161"/>
      <c r="AC14" s="168"/>
      <c r="AD14" s="168"/>
      <c r="AE14" s="168"/>
      <c r="AF14" s="168"/>
      <c r="AG14" s="168"/>
      <c r="AH14" s="168"/>
      <c r="AI14" s="109"/>
      <c r="AJ14" s="109"/>
      <c r="AK14" s="109"/>
      <c r="AL14" s="109"/>
      <c r="AM14" s="186"/>
      <c r="AN14" s="109"/>
      <c r="AO14" s="109"/>
      <c r="AP14" s="158">
        <v>12</v>
      </c>
      <c r="AQ14" s="152" t="s">
        <v>222</v>
      </c>
      <c r="AR14" s="109"/>
      <c r="AS14" s="109"/>
    </row>
    <row r="15" spans="1:45" ht="22.15" customHeight="1">
      <c r="A15" s="118"/>
      <c r="B15" s="119"/>
      <c r="C15" s="447"/>
      <c r="D15" s="120"/>
      <c r="E15" s="145">
        <v>10</v>
      </c>
      <c r="F15" s="146">
        <f t="shared" si="0"/>
        <v>1.01</v>
      </c>
      <c r="G15" s="147">
        <f t="shared" si="1"/>
        <v>2.5605072800999551</v>
      </c>
      <c r="H15" s="148">
        <f t="shared" si="2"/>
        <v>1.4356435643564396</v>
      </c>
      <c r="I15" s="147">
        <f t="shared" si="3"/>
        <v>2.5605224539999654</v>
      </c>
      <c r="J15" s="147">
        <f t="shared" si="4"/>
        <v>2.1965346534653527</v>
      </c>
      <c r="K15" s="147">
        <f t="shared" si="10"/>
        <v>2.3283267326732742</v>
      </c>
      <c r="L15" s="149">
        <f t="shared" si="5"/>
        <v>10.000000000000009</v>
      </c>
      <c r="M15" s="147">
        <f t="shared" si="6"/>
        <v>2.5607778969999799</v>
      </c>
      <c r="N15" s="148">
        <f t="shared" si="7"/>
        <v>25.861276785399649</v>
      </c>
      <c r="O15" s="148">
        <f t="shared" si="8"/>
        <v>1.5528039905098405</v>
      </c>
      <c r="P15" s="148">
        <f t="shared" si="9"/>
        <v>1.7645499892157279</v>
      </c>
      <c r="Q15" s="188" t="str">
        <f>+Q6</f>
        <v>Potentiel vol%</v>
      </c>
      <c r="R15" s="155">
        <f>VLOOKUP($R$4,$E$5:$P$155,11)</f>
        <v>11.902998453749055</v>
      </c>
      <c r="S15" s="156">
        <f>VLOOKUP($S$4,$E$5:$P$155,11)</f>
        <v>14.118146825547214</v>
      </c>
      <c r="T15" s="123">
        <v>1</v>
      </c>
      <c r="U15" s="181" t="s">
        <v>277</v>
      </c>
      <c r="V15" s="133" t="s">
        <v>278</v>
      </c>
      <c r="W15" s="133"/>
      <c r="X15" s="133"/>
      <c r="Y15" s="133"/>
      <c r="Z15" s="189">
        <v>3.8450000000000002</v>
      </c>
      <c r="AA15" s="161"/>
      <c r="AB15" s="161"/>
      <c r="AC15" s="175"/>
      <c r="AD15" s="176"/>
      <c r="AE15" s="176"/>
      <c r="AF15" s="176"/>
      <c r="AG15" s="175"/>
      <c r="AH15" s="177"/>
      <c r="AI15" s="109"/>
      <c r="AJ15" s="109"/>
      <c r="AK15" s="109"/>
      <c r="AL15" s="109"/>
      <c r="AM15" s="109"/>
      <c r="AN15" s="109"/>
      <c r="AO15" s="109"/>
      <c r="AP15" s="158" t="s">
        <v>218</v>
      </c>
      <c r="AQ15" s="152" t="s">
        <v>223</v>
      </c>
      <c r="AR15" s="109"/>
      <c r="AS15" s="109"/>
    </row>
    <row r="16" spans="1:45" ht="22.15" customHeight="1">
      <c r="A16" s="118"/>
      <c r="B16" s="119"/>
      <c r="C16" s="447"/>
      <c r="D16" s="120"/>
      <c r="E16" s="153">
        <v>11</v>
      </c>
      <c r="F16" s="146">
        <f t="shared" si="0"/>
        <v>1.0109999999999999</v>
      </c>
      <c r="G16" s="147">
        <f t="shared" si="1"/>
        <v>2.8145688365930255</v>
      </c>
      <c r="H16" s="148">
        <f t="shared" si="2"/>
        <v>1.5776458951532959</v>
      </c>
      <c r="I16" s="147">
        <f t="shared" si="3"/>
        <v>2.8141998030740751</v>
      </c>
      <c r="J16" s="147">
        <f t="shared" si="4"/>
        <v>2.4137982195845429</v>
      </c>
      <c r="K16" s="147">
        <f t="shared" si="10"/>
        <v>2.5586261127596157</v>
      </c>
      <c r="L16" s="149">
        <f t="shared" si="5"/>
        <v>10.999999999999899</v>
      </c>
      <c r="M16" s="147">
        <f t="shared" si="6"/>
        <v>2.8147420110070698</v>
      </c>
      <c r="N16" s="148">
        <f t="shared" si="7"/>
        <v>28.451560009078896</v>
      </c>
      <c r="O16" s="148">
        <f t="shared" si="8"/>
        <v>1.7083339034239089</v>
      </c>
      <c r="P16" s="148">
        <f t="shared" si="9"/>
        <v>1.9412885266180784</v>
      </c>
      <c r="Q16" s="190" t="str">
        <f>+AC2</f>
        <v>°KMW</v>
      </c>
      <c r="R16" s="159">
        <f>VLOOKUP($R$4,$E$5:$P$155,6)</f>
        <v>15.669702602230503</v>
      </c>
      <c r="S16" s="160">
        <f>VLOOKUP($S$4,$E$5:$P$155,6)</f>
        <v>18.317889908256884</v>
      </c>
      <c r="T16" s="123">
        <v>1.2</v>
      </c>
      <c r="U16" s="144"/>
      <c r="V16" s="142" t="s">
        <v>279</v>
      </c>
      <c r="W16" s="142"/>
      <c r="X16" s="142"/>
      <c r="Y16" s="142"/>
      <c r="Z16" s="191">
        <v>10.8</v>
      </c>
      <c r="AA16" s="192"/>
      <c r="AB16" s="192"/>
      <c r="AC16" s="175"/>
      <c r="AD16" s="166"/>
      <c r="AE16" s="166"/>
      <c r="AF16" s="166"/>
      <c r="AG16" s="175"/>
      <c r="AH16" s="177"/>
      <c r="AI16" s="109"/>
      <c r="AJ16" s="109"/>
      <c r="AK16" s="109"/>
      <c r="AL16" s="109"/>
      <c r="AM16" s="109"/>
      <c r="AN16" s="109"/>
      <c r="AO16" s="109"/>
      <c r="AP16" s="158" t="s">
        <v>219</v>
      </c>
      <c r="AQ16" s="152" t="s">
        <v>215</v>
      </c>
      <c r="AR16" s="109"/>
      <c r="AS16" s="109"/>
    </row>
    <row r="17" spans="1:45" ht="22.15" customHeight="1">
      <c r="A17" s="118"/>
      <c r="B17" s="119"/>
      <c r="C17" s="447"/>
      <c r="D17" s="120"/>
      <c r="E17" s="145">
        <v>12</v>
      </c>
      <c r="F17" s="146">
        <f t="shared" si="0"/>
        <v>1.012</v>
      </c>
      <c r="G17" s="147">
        <f t="shared" si="1"/>
        <v>3.068185831852702</v>
      </c>
      <c r="H17" s="148">
        <f t="shared" si="2"/>
        <v>1.7193675889328119</v>
      </c>
      <c r="I17" s="147">
        <f t="shared" si="3"/>
        <v>3.0674487909119534</v>
      </c>
      <c r="J17" s="147">
        <f t="shared" si="4"/>
        <v>2.6306324110672024</v>
      </c>
      <c r="K17" s="147">
        <f t="shared" si="10"/>
        <v>2.7884703557312345</v>
      </c>
      <c r="L17" s="149">
        <f t="shared" si="5"/>
        <v>12.000000000000011</v>
      </c>
      <c r="M17" s="147">
        <f t="shared" si="6"/>
        <v>3.068270538816023</v>
      </c>
      <c r="N17" s="148">
        <f t="shared" si="7"/>
        <v>31.04258176402897</v>
      </c>
      <c r="O17" s="148">
        <f t="shared" si="8"/>
        <v>1.863908160409385</v>
      </c>
      <c r="P17" s="148">
        <f t="shared" si="9"/>
        <v>2.1180774550106647</v>
      </c>
      <c r="Q17" s="136" t="str">
        <f>+Q5</f>
        <v>Dissolved sugar</v>
      </c>
      <c r="R17" s="150">
        <f>VLOOKUP($R$4,$E$5:$P$155,10)</f>
        <v>198.23927518856897</v>
      </c>
      <c r="S17" s="151">
        <f>VLOOKUP($S$4,$E$5:$P$155,10)</f>
        <v>235.13161028940186</v>
      </c>
      <c r="T17" s="123">
        <v>1.46</v>
      </c>
      <c r="U17" s="193"/>
      <c r="V17" s="194"/>
      <c r="W17" s="194"/>
      <c r="X17" s="194"/>
      <c r="Y17" s="194"/>
      <c r="Z17" s="195">
        <v>1.06</v>
      </c>
      <c r="AA17" s="196"/>
      <c r="AB17" s="196"/>
      <c r="AC17" s="161"/>
      <c r="AD17" s="161"/>
      <c r="AE17" s="161"/>
      <c r="AF17" s="161"/>
      <c r="AG17" s="161"/>
      <c r="AH17" s="161"/>
      <c r="AI17" s="109"/>
      <c r="AJ17" s="109"/>
      <c r="AK17" s="109"/>
      <c r="AL17" s="109"/>
      <c r="AM17" s="109"/>
      <c r="AN17" s="109"/>
      <c r="AO17" s="109"/>
      <c r="AP17" s="158" t="s">
        <v>220</v>
      </c>
      <c r="AQ17" s="152" t="s">
        <v>216</v>
      </c>
      <c r="AR17" s="109"/>
      <c r="AS17" s="109"/>
    </row>
    <row r="18" spans="1:45" ht="22.15" customHeight="1">
      <c r="A18" s="118"/>
      <c r="B18" s="119"/>
      <c r="C18" s="447"/>
      <c r="D18" s="120"/>
      <c r="E18" s="153">
        <v>13</v>
      </c>
      <c r="F18" s="146">
        <f t="shared" si="0"/>
        <v>1.0129999999999999</v>
      </c>
      <c r="G18" s="147">
        <f t="shared" si="1"/>
        <v>3.3213593606396898</v>
      </c>
      <c r="H18" s="148">
        <f t="shared" si="2"/>
        <v>1.8608094768015633</v>
      </c>
      <c r="I18" s="147">
        <f t="shared" si="3"/>
        <v>3.3202702770379346</v>
      </c>
      <c r="J18" s="147">
        <f t="shared" si="4"/>
        <v>2.8470384995063918</v>
      </c>
      <c r="K18" s="147">
        <f t="shared" si="10"/>
        <v>3.0178608094767756</v>
      </c>
      <c r="L18" s="149">
        <f t="shared" si="5"/>
        <v>12.999999999999901</v>
      </c>
      <c r="M18" s="147">
        <f t="shared" si="6"/>
        <v>3.3213642964090013</v>
      </c>
      <c r="N18" s="148">
        <f t="shared" si="7"/>
        <v>33.634337906394272</v>
      </c>
      <c r="O18" s="148">
        <f t="shared" si="8"/>
        <v>2.019526512654287</v>
      </c>
      <c r="P18" s="148">
        <f t="shared" si="9"/>
        <v>2.2949164916525988</v>
      </c>
      <c r="Q18" s="188" t="str">
        <f>+Q6</f>
        <v>Potentiel vol%</v>
      </c>
      <c r="R18" s="155">
        <f>VLOOKUP($R$4,$E$5:$P$155,11)</f>
        <v>11.902998453749055</v>
      </c>
      <c r="S18" s="156">
        <f>VLOOKUP($S$4,$E$5:$P$155,11)</f>
        <v>14.118146825547214</v>
      </c>
      <c r="T18" s="123">
        <v>1.6</v>
      </c>
      <c r="U18" s="197" t="s">
        <v>228</v>
      </c>
      <c r="V18" s="161"/>
      <c r="W18" s="161"/>
      <c r="X18" s="161"/>
      <c r="Y18" s="161"/>
      <c r="Z18" s="198">
        <v>182.46010000000001</v>
      </c>
      <c r="AA18" s="196"/>
      <c r="AB18" s="196"/>
      <c r="AC18" s="161"/>
      <c r="AD18" s="164"/>
      <c r="AE18" s="165"/>
      <c r="AF18" s="165"/>
      <c r="AG18" s="164"/>
      <c r="AH18" s="164"/>
      <c r="AI18" s="109"/>
      <c r="AJ18" s="109"/>
      <c r="AK18" s="109"/>
      <c r="AL18" s="109"/>
      <c r="AM18" s="109"/>
      <c r="AN18" s="109"/>
      <c r="AO18" s="109"/>
      <c r="AP18" s="158">
        <v>50</v>
      </c>
      <c r="AQ18" s="152" t="s">
        <v>213</v>
      </c>
      <c r="AR18" s="109"/>
      <c r="AS18" s="109"/>
    </row>
    <row r="19" spans="1:45" ht="22.15" customHeight="1">
      <c r="A19" s="118"/>
      <c r="B19" s="119"/>
      <c r="C19" s="447"/>
      <c r="D19" s="120"/>
      <c r="E19" s="145">
        <v>14</v>
      </c>
      <c r="F19" s="146">
        <f t="shared" si="0"/>
        <v>1.014</v>
      </c>
      <c r="G19" s="147">
        <f t="shared" si="1"/>
        <v>3.5740905177143532</v>
      </c>
      <c r="H19" s="148">
        <f t="shared" si="2"/>
        <v>2.0019723865877666</v>
      </c>
      <c r="I19" s="147">
        <f t="shared" si="3"/>
        <v>3.5726651209760121</v>
      </c>
      <c r="J19" s="147">
        <f t="shared" si="4"/>
        <v>3.0630177514792827</v>
      </c>
      <c r="K19" s="147">
        <f t="shared" si="10"/>
        <v>3.2467988165680399</v>
      </c>
      <c r="L19" s="149">
        <f t="shared" si="5"/>
        <v>14.000000000000012</v>
      </c>
      <c r="M19" s="147">
        <f t="shared" si="6"/>
        <v>3.5740240997679393</v>
      </c>
      <c r="N19" s="148">
        <f t="shared" si="7"/>
        <v>36.226824326696764</v>
      </c>
      <c r="O19" s="148">
        <f t="shared" si="8"/>
        <v>2.1751887134107863</v>
      </c>
      <c r="P19" s="148">
        <f t="shared" si="9"/>
        <v>2.4718053561486206</v>
      </c>
      <c r="Q19" s="190" t="str">
        <f>+AF2</f>
        <v>°NM</v>
      </c>
      <c r="R19" s="159">
        <f>VLOOKUP($R$4,$E$5:$P$155,7)</f>
        <v>16.609884758364334</v>
      </c>
      <c r="S19" s="160">
        <f>VLOOKUP($S$4,$E$5:$P$155,7)</f>
        <v>19.416963302752297</v>
      </c>
      <c r="T19" s="123">
        <v>1.8</v>
      </c>
      <c r="U19" s="199"/>
      <c r="V19" s="161"/>
      <c r="W19" s="161"/>
      <c r="X19" s="161"/>
      <c r="Y19" s="161"/>
      <c r="Z19" s="198">
        <v>775.68209999999999</v>
      </c>
      <c r="AA19" s="161"/>
      <c r="AB19" s="161"/>
      <c r="AC19" s="168"/>
      <c r="AD19" s="168"/>
      <c r="AE19" s="168"/>
      <c r="AF19" s="168"/>
      <c r="AG19" s="168"/>
      <c r="AH19" s="168"/>
      <c r="AI19" s="109"/>
      <c r="AJ19" s="109"/>
      <c r="AK19" s="109"/>
      <c r="AL19" s="109"/>
      <c r="AM19" s="109"/>
      <c r="AN19" s="109"/>
      <c r="AO19" s="109"/>
      <c r="AP19" s="109"/>
      <c r="AQ19" s="109"/>
      <c r="AR19" s="109"/>
      <c r="AS19" s="109"/>
    </row>
    <row r="20" spans="1:45" ht="22.15" customHeight="1">
      <c r="A20" s="118"/>
      <c r="B20" s="119"/>
      <c r="C20" s="447"/>
      <c r="D20" s="120"/>
      <c r="E20" s="153">
        <v>15</v>
      </c>
      <c r="F20" s="146">
        <f t="shared" si="0"/>
        <v>1.0149999999999999</v>
      </c>
      <c r="G20" s="147">
        <f t="shared" si="1"/>
        <v>3.8263803978373971</v>
      </c>
      <c r="H20" s="148">
        <f t="shared" si="2"/>
        <v>2.1428571428571388</v>
      </c>
      <c r="I20" s="147">
        <f t="shared" si="3"/>
        <v>3.824634182250179</v>
      </c>
      <c r="J20" s="147">
        <f t="shared" si="4"/>
        <v>3.2785714285714223</v>
      </c>
      <c r="K20" s="147">
        <f t="shared" si="10"/>
        <v>3.4752857142857079</v>
      </c>
      <c r="L20" s="149">
        <f t="shared" si="5"/>
        <v>14.999999999999902</v>
      </c>
      <c r="M20" s="147">
        <f t="shared" si="6"/>
        <v>3.8262507648749988</v>
      </c>
      <c r="N20" s="148">
        <f t="shared" si="7"/>
        <v>38.820036949839313</v>
      </c>
      <c r="O20" s="148">
        <f t="shared" si="8"/>
        <v>2.3308945179954077</v>
      </c>
      <c r="P20" s="148">
        <f t="shared" si="9"/>
        <v>2.6487437704493271</v>
      </c>
      <c r="Q20" s="136" t="str">
        <f>+Q5</f>
        <v>Dissolved sugar</v>
      </c>
      <c r="R20" s="150">
        <f>VLOOKUP($R$4,$E$5:$P$155,10)</f>
        <v>198.23927518856897</v>
      </c>
      <c r="S20" s="151">
        <f>VLOOKUP($S$4,$E$5:$P$155,10)</f>
        <v>235.13161028940186</v>
      </c>
      <c r="T20" s="123">
        <v>2</v>
      </c>
      <c r="U20" s="199"/>
      <c r="V20" s="161"/>
      <c r="W20" s="161"/>
      <c r="X20" s="161"/>
      <c r="Y20" s="161"/>
      <c r="Z20" s="198">
        <v>1262.7793999999999</v>
      </c>
      <c r="AA20" s="161"/>
      <c r="AB20" s="161"/>
      <c r="AC20" s="175"/>
      <c r="AD20" s="200"/>
      <c r="AE20" s="200"/>
      <c r="AF20" s="200"/>
      <c r="AG20" s="175"/>
      <c r="AH20" s="201"/>
      <c r="AI20" s="109"/>
      <c r="AJ20" s="109"/>
      <c r="AK20" s="109"/>
      <c r="AL20" s="109"/>
      <c r="AM20" s="109"/>
      <c r="AN20" s="109"/>
      <c r="AO20" s="109"/>
      <c r="AP20" s="109"/>
      <c r="AQ20" s="109"/>
      <c r="AR20" s="109"/>
      <c r="AS20" s="109"/>
    </row>
    <row r="21" spans="1:45" ht="22.15" customHeight="1">
      <c r="A21" s="118"/>
      <c r="B21" s="119"/>
      <c r="C21" s="447"/>
      <c r="D21" s="120"/>
      <c r="E21" s="145">
        <v>16</v>
      </c>
      <c r="F21" s="146">
        <f t="shared" si="0"/>
        <v>1.016</v>
      </c>
      <c r="G21" s="147">
        <f t="shared" si="1"/>
        <v>4.0782300957696407</v>
      </c>
      <c r="H21" s="148">
        <f t="shared" si="2"/>
        <v>2.2834645669291262</v>
      </c>
      <c r="I21" s="147">
        <f t="shared" si="3"/>
        <v>4.0761783203839741</v>
      </c>
      <c r="J21" s="147">
        <f t="shared" si="4"/>
        <v>3.4937007874015631</v>
      </c>
      <c r="K21" s="147">
        <f t="shared" si="10"/>
        <v>3.703322834645657</v>
      </c>
      <c r="L21" s="149">
        <f t="shared" si="5"/>
        <v>16.000000000000014</v>
      </c>
      <c r="M21" s="147">
        <f t="shared" si="6"/>
        <v>4.0780451077120006</v>
      </c>
      <c r="N21" s="148">
        <f t="shared" si="7"/>
        <v>41.413971735101178</v>
      </c>
      <c r="O21" s="148">
        <f t="shared" si="8"/>
        <v>2.4866436837887576</v>
      </c>
      <c r="P21" s="148">
        <f t="shared" si="9"/>
        <v>2.8257314588508606</v>
      </c>
      <c r="Q21" s="188" t="str">
        <f>+Q6</f>
        <v>Potentiel vol%</v>
      </c>
      <c r="R21" s="155">
        <f>VLOOKUP($R$4,$E$5:$P$155,11)</f>
        <v>11.902998453749055</v>
      </c>
      <c r="S21" s="156">
        <f>VLOOKUP($S$4,$E$5:$P$155,11)</f>
        <v>14.118146825547214</v>
      </c>
      <c r="T21" s="123">
        <v>2.2000000000000002</v>
      </c>
      <c r="U21" s="193"/>
      <c r="V21" s="194"/>
      <c r="W21" s="194"/>
      <c r="X21" s="194"/>
      <c r="Y21" s="194"/>
      <c r="Z21" s="195">
        <v>669.56219999999996</v>
      </c>
      <c r="AA21" s="161"/>
      <c r="AB21" s="161"/>
      <c r="AC21" s="175"/>
      <c r="AD21" s="200"/>
      <c r="AE21" s="200"/>
      <c r="AF21" s="200"/>
      <c r="AG21" s="175"/>
      <c r="AH21" s="201"/>
      <c r="AI21" s="109"/>
      <c r="AJ21" s="109"/>
      <c r="AK21" s="109"/>
      <c r="AL21" s="109"/>
      <c r="AM21" s="109"/>
      <c r="AN21" s="109"/>
      <c r="AO21" s="109"/>
      <c r="AP21" s="109"/>
      <c r="AQ21" s="109"/>
      <c r="AR21" s="109"/>
      <c r="AS21" s="109"/>
    </row>
    <row r="22" spans="1:45" ht="22.15" customHeight="1">
      <c r="A22" s="118"/>
      <c r="B22" s="119"/>
      <c r="C22" s="447"/>
      <c r="D22" s="120"/>
      <c r="E22" s="153">
        <v>17</v>
      </c>
      <c r="F22" s="146">
        <f t="shared" si="0"/>
        <v>1.0169999999999999</v>
      </c>
      <c r="G22" s="147">
        <f t="shared" si="1"/>
        <v>4.3296407062711069</v>
      </c>
      <c r="H22" s="148">
        <f t="shared" si="2"/>
        <v>2.4237954768928205</v>
      </c>
      <c r="I22" s="147">
        <f t="shared" si="3"/>
        <v>4.3272983949020727</v>
      </c>
      <c r="J22" s="147">
        <f t="shared" si="4"/>
        <v>3.7084070796460153</v>
      </c>
      <c r="K22" s="147">
        <f t="shared" si="10"/>
        <v>3.9309115044247767</v>
      </c>
      <c r="L22" s="149">
        <f t="shared" si="5"/>
        <v>16.999999999999904</v>
      </c>
      <c r="M22" s="147">
        <f t="shared" si="6"/>
        <v>4.3294079442609927</v>
      </c>
      <c r="N22" s="148">
        <f t="shared" si="7"/>
        <v>44.008624676154078</v>
      </c>
      <c r="O22" s="148">
        <f t="shared" si="8"/>
        <v>2.6424359702364884</v>
      </c>
      <c r="P22" s="148">
        <f t="shared" si="9"/>
        <v>3.0027681479960093</v>
      </c>
      <c r="Q22" s="190" t="str">
        <f>+AI2</f>
        <v>°Oechsle</v>
      </c>
      <c r="R22" s="159">
        <f>VLOOKUP($R$4,$E$5:$P$155,8)</f>
        <v>76.000000000000071</v>
      </c>
      <c r="S22" s="160">
        <f>VLOOKUP($S$4,$E$5:$P$155,8)</f>
        <v>90.000000000000085</v>
      </c>
      <c r="T22" s="123">
        <v>2.4</v>
      </c>
      <c r="U22" s="202" t="s">
        <v>229</v>
      </c>
      <c r="V22" s="203"/>
      <c r="W22" s="203"/>
      <c r="X22" s="203"/>
      <c r="Y22" s="203"/>
      <c r="Z22" s="204">
        <v>135.99700000000001</v>
      </c>
      <c r="AA22" s="205"/>
      <c r="AB22" s="205"/>
      <c r="AC22" s="161"/>
      <c r="AD22" s="161"/>
      <c r="AE22" s="161"/>
      <c r="AF22" s="161"/>
      <c r="AG22" s="161"/>
      <c r="AH22" s="161"/>
      <c r="AI22" s="109"/>
      <c r="AJ22" s="109"/>
      <c r="AK22" s="109"/>
      <c r="AL22" s="109"/>
      <c r="AM22" s="109"/>
      <c r="AN22" s="109"/>
      <c r="AO22" s="109"/>
      <c r="AP22" s="109"/>
      <c r="AQ22" s="109"/>
      <c r="AR22" s="109"/>
      <c r="AS22" s="109"/>
    </row>
    <row r="23" spans="1:45" ht="22.15" customHeight="1">
      <c r="A23" s="118"/>
      <c r="B23" s="119"/>
      <c r="C23" s="447"/>
      <c r="D23" s="120"/>
      <c r="E23" s="145">
        <v>18</v>
      </c>
      <c r="F23" s="146">
        <f t="shared" si="0"/>
        <v>1.018</v>
      </c>
      <c r="G23" s="147">
        <f t="shared" si="1"/>
        <v>4.580613324103183</v>
      </c>
      <c r="H23" s="148">
        <f t="shared" si="2"/>
        <v>2.5638506876227893</v>
      </c>
      <c r="I23" s="147">
        <f t="shared" si="3"/>
        <v>4.5779952653281271</v>
      </c>
      <c r="J23" s="147">
        <f t="shared" si="4"/>
        <v>3.9226915520628678</v>
      </c>
      <c r="K23" s="147">
        <f t="shared" si="10"/>
        <v>4.15805304518664</v>
      </c>
      <c r="L23" s="149">
        <f t="shared" si="5"/>
        <v>18.000000000000014</v>
      </c>
      <c r="M23" s="147">
        <f t="shared" si="6"/>
        <v>4.5803400905040235</v>
      </c>
      <c r="N23" s="148">
        <f t="shared" si="7"/>
        <v>46.603991801040337</v>
      </c>
      <c r="O23" s="148">
        <f t="shared" si="8"/>
        <v>2.7982711388479888</v>
      </c>
      <c r="P23" s="148">
        <f t="shared" si="9"/>
        <v>3.1798535668727146</v>
      </c>
      <c r="Q23" s="136" t="str">
        <f>+Q5</f>
        <v>Dissolved sugar</v>
      </c>
      <c r="R23" s="150">
        <f>VLOOKUP($R$4,$E$5:$P$155,10)</f>
        <v>198.23927518856897</v>
      </c>
      <c r="S23" s="151">
        <f>VLOOKUP($S$4,$E$5:$P$155,10)</f>
        <v>235.13161028940186</v>
      </c>
      <c r="T23" s="123">
        <v>2.6</v>
      </c>
      <c r="U23" s="199"/>
      <c r="V23" s="161"/>
      <c r="W23" s="161"/>
      <c r="X23" s="161"/>
      <c r="Y23" s="161"/>
      <c r="Z23" s="198">
        <v>630.27200000000005</v>
      </c>
      <c r="AA23" s="161"/>
      <c r="AB23" s="161"/>
      <c r="AC23" s="161"/>
      <c r="AD23" s="162"/>
      <c r="AE23" s="165"/>
      <c r="AF23" s="165"/>
      <c r="AG23" s="162"/>
      <c r="AH23" s="162"/>
      <c r="AI23" s="109"/>
      <c r="AJ23" s="109"/>
      <c r="AK23" s="109"/>
      <c r="AL23" s="109"/>
      <c r="AM23" s="109"/>
      <c r="AN23" s="109"/>
      <c r="AO23" s="109"/>
      <c r="AP23" s="109"/>
      <c r="AQ23" s="109"/>
      <c r="AR23" s="109"/>
      <c r="AS23" s="109"/>
    </row>
    <row r="24" spans="1:45" ht="22.15" customHeight="1">
      <c r="A24" s="118"/>
      <c r="B24" s="119"/>
      <c r="C24" s="447"/>
      <c r="D24" s="120"/>
      <c r="E24" s="153">
        <v>19</v>
      </c>
      <c r="F24" s="146">
        <f t="shared" si="0"/>
        <v>1.0189999999999999</v>
      </c>
      <c r="G24" s="147">
        <f t="shared" si="1"/>
        <v>4.8311490440258922</v>
      </c>
      <c r="H24" s="148">
        <f t="shared" si="2"/>
        <v>2.7036310107948793</v>
      </c>
      <c r="I24" s="147">
        <f t="shared" si="3"/>
        <v>4.8282697911860168</v>
      </c>
      <c r="J24" s="147">
        <f t="shared" si="4"/>
        <v>4.1365554465161658</v>
      </c>
      <c r="K24" s="147">
        <f t="shared" si="10"/>
        <v>4.3847487733071357</v>
      </c>
      <c r="L24" s="149">
        <f t="shared" si="5"/>
        <v>18.999999999999908</v>
      </c>
      <c r="M24" s="147">
        <f t="shared" si="6"/>
        <v>4.8308423624229135</v>
      </c>
      <c r="N24" s="148">
        <f t="shared" si="7"/>
        <v>49.200069172185508</v>
      </c>
      <c r="O24" s="148">
        <f t="shared" si="8"/>
        <v>2.9541489531971394</v>
      </c>
      <c r="P24" s="148">
        <f t="shared" si="9"/>
        <v>3.356987446814931</v>
      </c>
      <c r="Q24" s="188" t="str">
        <f>+Q6</f>
        <v>Potentiel vol%</v>
      </c>
      <c r="R24" s="155">
        <f>VLOOKUP($R$4,$E$5:$P$155,11)</f>
        <v>11.902998453749055</v>
      </c>
      <c r="S24" s="156">
        <f>VLOOKUP($S$4,$E$5:$P$155,11)</f>
        <v>14.118146825547214</v>
      </c>
      <c r="T24" s="123">
        <v>2.8</v>
      </c>
      <c r="U24" s="199"/>
      <c r="V24" s="161"/>
      <c r="W24" s="161"/>
      <c r="X24" s="161"/>
      <c r="Y24" s="161"/>
      <c r="Z24" s="198">
        <v>1111.1400000000001</v>
      </c>
      <c r="AA24" s="161"/>
      <c r="AB24" s="161"/>
      <c r="AC24" s="175"/>
      <c r="AD24" s="200"/>
      <c r="AE24" s="200"/>
      <c r="AF24" s="200"/>
      <c r="AG24" s="175"/>
      <c r="AH24" s="201"/>
      <c r="AI24" s="109"/>
      <c r="AJ24" s="109"/>
      <c r="AK24" s="109"/>
      <c r="AL24" s="109"/>
      <c r="AM24" s="109"/>
      <c r="AN24" s="109"/>
      <c r="AO24" s="109"/>
      <c r="AP24" s="109"/>
      <c r="AQ24" s="109"/>
      <c r="AR24" s="109"/>
      <c r="AS24" s="109"/>
    </row>
    <row r="25" spans="1:45" ht="22.15" customHeight="1">
      <c r="A25" s="118"/>
      <c r="B25" s="119"/>
      <c r="C25" s="447"/>
      <c r="D25" s="120"/>
      <c r="E25" s="145">
        <v>20</v>
      </c>
      <c r="F25" s="146">
        <f t="shared" si="0"/>
        <v>1.02</v>
      </c>
      <c r="G25" s="147">
        <f t="shared" si="1"/>
        <v>5.0812489608000533</v>
      </c>
      <c r="H25" s="148">
        <f t="shared" si="2"/>
        <v>2.8431372549019613</v>
      </c>
      <c r="I25" s="147">
        <f t="shared" si="3"/>
        <v>5.0781228320000764</v>
      </c>
      <c r="J25" s="147">
        <f t="shared" si="4"/>
        <v>4.3500000000000005</v>
      </c>
      <c r="K25" s="147">
        <f t="shared" si="10"/>
        <v>4.6110000000000007</v>
      </c>
      <c r="L25" s="149">
        <f t="shared" si="5"/>
        <v>20.000000000000018</v>
      </c>
      <c r="M25" s="147">
        <f t="shared" si="6"/>
        <v>5.0809155760000522</v>
      </c>
      <c r="N25" s="148">
        <f t="shared" si="7"/>
        <v>51.796852886400778</v>
      </c>
      <c r="O25" s="148">
        <f t="shared" si="8"/>
        <v>3.1100691789224575</v>
      </c>
      <c r="P25" s="148">
        <f t="shared" si="9"/>
        <v>3.5341695215027924</v>
      </c>
      <c r="Q25" s="190" t="str">
        <f>+AL2</f>
        <v>°Plato</v>
      </c>
      <c r="R25" s="159">
        <f>VLOOKUP($R$4,$E$5:$P$155,9)</f>
        <v>18.425416363072031</v>
      </c>
      <c r="S25" s="160">
        <f>VLOOKUP($S$4,$E$5:$P$155,9)</f>
        <v>21.568495713000061</v>
      </c>
      <c r="T25" s="123">
        <v>3</v>
      </c>
      <c r="U25" s="193"/>
      <c r="V25" s="194"/>
      <c r="W25" s="194"/>
      <c r="X25" s="194"/>
      <c r="Y25" s="194"/>
      <c r="Z25" s="195">
        <v>616.86800000000005</v>
      </c>
      <c r="AA25" s="161"/>
      <c r="AB25" s="161"/>
      <c r="AC25" s="175"/>
      <c r="AD25" s="200"/>
      <c r="AE25" s="200"/>
      <c r="AF25" s="200"/>
      <c r="AG25" s="175"/>
      <c r="AH25" s="201"/>
      <c r="AI25" s="109"/>
      <c r="AJ25" s="109"/>
      <c r="AK25" s="109"/>
      <c r="AL25" s="109"/>
      <c r="AM25" s="109"/>
      <c r="AN25" s="109"/>
      <c r="AO25" s="109"/>
      <c r="AP25" s="109"/>
      <c r="AQ25" s="109"/>
      <c r="AR25" s="109"/>
      <c r="AS25" s="109"/>
    </row>
    <row r="26" spans="1:45" ht="22.15" customHeight="1">
      <c r="A26" s="118"/>
      <c r="B26" s="119"/>
      <c r="C26" s="447"/>
      <c r="D26" s="120"/>
      <c r="E26" s="153">
        <v>21</v>
      </c>
      <c r="F26" s="146">
        <f t="shared" si="0"/>
        <v>1.0209999999999999</v>
      </c>
      <c r="G26" s="147">
        <f t="shared" si="1"/>
        <v>5.3309141691860304</v>
      </c>
      <c r="H26" s="148">
        <f t="shared" si="2"/>
        <v>2.9823702252693352</v>
      </c>
      <c r="I26" s="147">
        <f t="shared" si="3"/>
        <v>5.3275552472941854</v>
      </c>
      <c r="J26" s="147">
        <f t="shared" si="4"/>
        <v>4.563026444662083</v>
      </c>
      <c r="K26" s="147">
        <f t="shared" si="10"/>
        <v>4.8368080313418078</v>
      </c>
      <c r="L26" s="149">
        <f t="shared" si="5"/>
        <v>20.999999999999908</v>
      </c>
      <c r="M26" s="147">
        <f t="shared" si="6"/>
        <v>5.3305605472169191</v>
      </c>
      <c r="N26" s="148">
        <f t="shared" si="7"/>
        <v>54.394339074873628</v>
      </c>
      <c r="O26" s="148">
        <f t="shared" si="8"/>
        <v>3.2660315837265359</v>
      </c>
      <c r="P26" s="148">
        <f t="shared" si="9"/>
        <v>3.7113995269619728</v>
      </c>
      <c r="Q26" s="136" t="str">
        <f>+Q5</f>
        <v>Dissolved sugar</v>
      </c>
      <c r="R26" s="150">
        <f>VLOOKUP($R$4,$E$5:$P$155,10)</f>
        <v>198.23927518856897</v>
      </c>
      <c r="S26" s="151">
        <f>VLOOKUP($S$4,$E$5:$P$155,10)</f>
        <v>235.13161028940186</v>
      </c>
      <c r="T26" s="178"/>
      <c r="U26" s="133" t="s">
        <v>62</v>
      </c>
      <c r="V26" s="142"/>
      <c r="W26" s="142" t="s">
        <v>233</v>
      </c>
      <c r="X26" s="142"/>
      <c r="Y26" s="142" t="s">
        <v>1</v>
      </c>
      <c r="Z26" s="189">
        <v>342.29919999999998</v>
      </c>
      <c r="AA26" s="206"/>
      <c r="AB26" s="206"/>
      <c r="AC26" s="161"/>
      <c r="AD26" s="161"/>
      <c r="AE26" s="161"/>
      <c r="AF26" s="161"/>
      <c r="AG26" s="161"/>
      <c r="AH26" s="161"/>
      <c r="AI26" s="109"/>
      <c r="AJ26" s="109"/>
      <c r="AK26" s="109"/>
      <c r="AL26" s="109"/>
      <c r="AM26" s="109"/>
      <c r="AN26" s="109"/>
      <c r="AO26" s="109"/>
      <c r="AP26" s="109"/>
      <c r="AQ26" s="109"/>
      <c r="AR26" s="109"/>
      <c r="AS26" s="109"/>
    </row>
    <row r="27" spans="1:45" ht="22.15" customHeight="1">
      <c r="A27" s="118"/>
      <c r="B27" s="119"/>
      <c r="C27" s="447"/>
      <c r="D27" s="120"/>
      <c r="E27" s="145">
        <v>22</v>
      </c>
      <c r="F27" s="146">
        <f t="shared" si="0"/>
        <v>1.022</v>
      </c>
      <c r="G27" s="147">
        <f t="shared" si="1"/>
        <v>5.5801457639446426</v>
      </c>
      <c r="H27" s="148">
        <f t="shared" si="2"/>
        <v>3.1213307240704466</v>
      </c>
      <c r="I27" s="147">
        <f t="shared" si="3"/>
        <v>5.5765678965922234</v>
      </c>
      <c r="J27" s="147">
        <f t="shared" si="4"/>
        <v>4.7756360078277833</v>
      </c>
      <c r="K27" s="147">
        <f t="shared" si="10"/>
        <v>5.0621741682974504</v>
      </c>
      <c r="L27" s="149">
        <f t="shared" si="5"/>
        <v>22.000000000000021</v>
      </c>
      <c r="M27" s="147">
        <f t="shared" si="6"/>
        <v>5.5797780920561308</v>
      </c>
      <c r="N27" s="148">
        <f t="shared" si="7"/>
        <v>56.992523903172525</v>
      </c>
      <c r="O27" s="148">
        <f t="shared" si="8"/>
        <v>3.4220359373763287</v>
      </c>
      <c r="P27" s="148">
        <f t="shared" si="9"/>
        <v>3.8886772015640099</v>
      </c>
      <c r="Q27" s="188" t="str">
        <f>+Q6</f>
        <v>Potentiel vol%</v>
      </c>
      <c r="R27" s="155">
        <f>VLOOKUP($R$4,$E$5:$P$155,11)</f>
        <v>11.902998453749055</v>
      </c>
      <c r="S27" s="156">
        <f>VLOOKUP($S$4,$E$5:$P$155,11)</f>
        <v>14.118146825547214</v>
      </c>
      <c r="T27" s="178"/>
      <c r="U27" s="142" t="s">
        <v>45</v>
      </c>
      <c r="V27" s="142"/>
      <c r="W27" s="142" t="s">
        <v>234</v>
      </c>
      <c r="X27" s="142"/>
      <c r="Y27" s="142" t="s">
        <v>1</v>
      </c>
      <c r="Z27" s="191">
        <v>184.27520000000001</v>
      </c>
      <c r="AA27" s="161"/>
      <c r="AB27" s="161"/>
      <c r="AC27" s="161"/>
      <c r="AD27" s="161"/>
      <c r="AE27" s="161"/>
      <c r="AF27" s="161"/>
      <c r="AG27" s="161"/>
      <c r="AH27" s="161"/>
      <c r="AI27" s="109"/>
      <c r="AJ27" s="109"/>
      <c r="AK27" s="109"/>
      <c r="AL27" s="109"/>
      <c r="AM27" s="109"/>
      <c r="AN27" s="109"/>
      <c r="AO27" s="109"/>
      <c r="AP27" s="109"/>
      <c r="AQ27" s="109"/>
      <c r="AR27" s="109"/>
      <c r="AS27" s="109"/>
    </row>
    <row r="28" spans="1:45" ht="22.15" customHeight="1">
      <c r="A28" s="118"/>
      <c r="B28" s="119"/>
      <c r="C28" s="447"/>
      <c r="D28" s="120"/>
      <c r="E28" s="153">
        <v>23</v>
      </c>
      <c r="F28" s="146">
        <f t="shared" si="0"/>
        <v>1.0229999999999999</v>
      </c>
      <c r="G28" s="147">
        <f t="shared" si="1"/>
        <v>5.8289448398367085</v>
      </c>
      <c r="H28" s="148">
        <f t="shared" si="2"/>
        <v>3.2600195503421219</v>
      </c>
      <c r="I28" s="147">
        <f t="shared" si="3"/>
        <v>5.8251616394181838</v>
      </c>
      <c r="J28" s="147">
        <f t="shared" si="4"/>
        <v>4.9878299120234466</v>
      </c>
      <c r="K28" s="147">
        <f t="shared" si="10"/>
        <v>5.2870997067448533</v>
      </c>
      <c r="L28" s="149">
        <f t="shared" si="5"/>
        <v>22.999999999999908</v>
      </c>
      <c r="M28" s="147">
        <f t="shared" si="6"/>
        <v>5.8285690264989398</v>
      </c>
      <c r="N28" s="148">
        <f t="shared" si="7"/>
        <v>59.591403571248016</v>
      </c>
      <c r="O28" s="148">
        <f t="shared" si="8"/>
        <v>3.5780820117032093</v>
      </c>
      <c r="P28" s="148">
        <f t="shared" si="9"/>
        <v>4.0660022860263743</v>
      </c>
      <c r="Q28" s="190" t="str">
        <f>+Fermentation!A6</f>
        <v>°Balling</v>
      </c>
      <c r="R28" s="207">
        <f>VLOOKUP($Q$28,$Q$29:$S$35,2)</f>
        <v>18.425082408057506</v>
      </c>
      <c r="S28" s="208">
        <f>VLOOKUP($Q$28,$Q$29:$S$35,3)</f>
        <v>21.570563832900007</v>
      </c>
      <c r="T28" s="178"/>
      <c r="U28" s="142" t="s">
        <v>45</v>
      </c>
      <c r="V28" s="142"/>
      <c r="W28" s="142" t="s">
        <v>110</v>
      </c>
      <c r="X28" s="142"/>
      <c r="Y28" s="142" t="s">
        <v>235</v>
      </c>
      <c r="Z28" s="191">
        <v>0.78900000000000003</v>
      </c>
      <c r="AA28" s="161"/>
      <c r="AB28" s="109"/>
      <c r="AC28" s="109"/>
      <c r="AD28" s="109"/>
      <c r="AE28" s="109"/>
      <c r="AF28" s="109"/>
      <c r="AG28" s="109"/>
      <c r="AH28" s="109"/>
      <c r="AI28" s="109"/>
      <c r="AJ28" s="109"/>
      <c r="AK28" s="109"/>
      <c r="AL28" s="109"/>
      <c r="AM28" s="109"/>
      <c r="AN28" s="109"/>
      <c r="AO28" s="109"/>
      <c r="AP28" s="109"/>
      <c r="AQ28" s="109"/>
      <c r="AR28" s="109"/>
      <c r="AS28" s="109"/>
    </row>
    <row r="29" spans="1:45" ht="22.15" customHeight="1">
      <c r="A29" s="118"/>
      <c r="B29" s="119"/>
      <c r="C29" s="447"/>
      <c r="D29" s="120"/>
      <c r="E29" s="145">
        <v>24</v>
      </c>
      <c r="F29" s="146">
        <f t="shared" si="0"/>
        <v>1.024</v>
      </c>
      <c r="G29" s="147">
        <f t="shared" si="1"/>
        <v>6.0773124916223651</v>
      </c>
      <c r="H29" s="148">
        <f t="shared" si="2"/>
        <v>3.3984375</v>
      </c>
      <c r="I29" s="147">
        <f t="shared" si="3"/>
        <v>6.0733373352961735</v>
      </c>
      <c r="J29" s="147">
        <f t="shared" si="4"/>
        <v>5.1996093750000005</v>
      </c>
      <c r="K29" s="147">
        <f t="shared" si="10"/>
        <v>5.5115859375000005</v>
      </c>
      <c r="L29" s="149">
        <f t="shared" si="5"/>
        <v>24.000000000000021</v>
      </c>
      <c r="M29" s="147">
        <f t="shared" si="6"/>
        <v>6.0769341665279626</v>
      </c>
      <c r="N29" s="148">
        <f t="shared" si="7"/>
        <v>62.190974313432818</v>
      </c>
      <c r="O29" s="148">
        <f t="shared" si="8"/>
        <v>3.7341695806029831</v>
      </c>
      <c r="P29" s="148">
        <f t="shared" si="9"/>
        <v>4.2433745234124807</v>
      </c>
      <c r="Q29" s="136" t="str">
        <f>+Q7</f>
        <v>°Balling</v>
      </c>
      <c r="R29" s="136">
        <f>+R7</f>
        <v>18.425082408057506</v>
      </c>
      <c r="S29" s="143">
        <f>+S7</f>
        <v>21.570563832900007</v>
      </c>
      <c r="T29" s="459" t="s">
        <v>344</v>
      </c>
      <c r="U29" s="460"/>
      <c r="V29" s="142"/>
      <c r="W29" s="142"/>
      <c r="X29" s="140">
        <f>+Fermentation!H8</f>
        <v>88</v>
      </c>
      <c r="Y29" s="142" t="s">
        <v>291</v>
      </c>
      <c r="Z29" s="191">
        <v>10</v>
      </c>
      <c r="AA29" s="161"/>
      <c r="AB29" s="109"/>
      <c r="AC29" s="109"/>
      <c r="AD29" s="109"/>
      <c r="AE29" s="109"/>
      <c r="AF29" s="109"/>
      <c r="AG29" s="109"/>
      <c r="AH29" s="109"/>
      <c r="AI29" s="109"/>
      <c r="AJ29" s="109"/>
      <c r="AK29" s="109"/>
      <c r="AL29" s="109"/>
      <c r="AM29" s="109"/>
      <c r="AN29" s="109"/>
      <c r="AO29" s="109"/>
      <c r="AP29" s="109"/>
      <c r="AQ29" s="109"/>
      <c r="AR29" s="109"/>
      <c r="AS29" s="109"/>
    </row>
    <row r="30" spans="1:45" ht="22.15" customHeight="1">
      <c r="A30" s="118"/>
      <c r="B30" s="119"/>
      <c r="C30" s="447"/>
      <c r="D30" s="120"/>
      <c r="E30" s="153">
        <v>25</v>
      </c>
      <c r="F30" s="146">
        <f t="shared" si="0"/>
        <v>1.0249999999999999</v>
      </c>
      <c r="G30" s="147">
        <f t="shared" si="1"/>
        <v>6.3252498140623175</v>
      </c>
      <c r="H30" s="148">
        <f t="shared" si="2"/>
        <v>3.5365853658536537</v>
      </c>
      <c r="I30" s="147">
        <f t="shared" si="3"/>
        <v>6.3210958437501858</v>
      </c>
      <c r="J30" s="147">
        <f t="shared" si="4"/>
        <v>5.4109756097560906</v>
      </c>
      <c r="K30" s="147">
        <f t="shared" si="10"/>
        <v>5.7356341463414564</v>
      </c>
      <c r="L30" s="149">
        <f t="shared" si="5"/>
        <v>24.999999999999911</v>
      </c>
      <c r="M30" s="147">
        <f t="shared" si="6"/>
        <v>6.3248743281250199</v>
      </c>
      <c r="N30" s="148">
        <f t="shared" si="7"/>
        <v>64.791232398439405</v>
      </c>
      <c r="O30" s="148">
        <f t="shared" si="8"/>
        <v>3.8902984200357382</v>
      </c>
      <c r="P30" s="148">
        <f t="shared" si="9"/>
        <v>4.4207936591315207</v>
      </c>
      <c r="Q30" s="136" t="str">
        <f>+Q10</f>
        <v>°Baume</v>
      </c>
      <c r="R30" s="136">
        <f>+R10</f>
        <v>10.241635687732355</v>
      </c>
      <c r="S30" s="143">
        <f>+S10</f>
        <v>11.972477064220186</v>
      </c>
      <c r="T30" s="209">
        <v>100</v>
      </c>
      <c r="U30" s="109"/>
      <c r="V30" s="142"/>
      <c r="W30" s="142"/>
      <c r="X30" s="142"/>
      <c r="Y30" s="142"/>
      <c r="Z30" s="191">
        <v>100</v>
      </c>
      <c r="AA30" s="109"/>
      <c r="AB30" s="109"/>
      <c r="AC30" s="109"/>
      <c r="AD30" s="109"/>
      <c r="AE30" s="109"/>
      <c r="AF30" s="109"/>
      <c r="AG30" s="109"/>
      <c r="AH30" s="109"/>
      <c r="AI30" s="109"/>
      <c r="AJ30" s="109"/>
      <c r="AK30" s="109"/>
      <c r="AL30" s="109"/>
      <c r="AM30" s="109"/>
      <c r="AN30" s="109"/>
      <c r="AO30" s="109"/>
      <c r="AP30" s="109"/>
      <c r="AQ30" s="109"/>
      <c r="AR30" s="109"/>
      <c r="AS30" s="109"/>
    </row>
    <row r="31" spans="1:45" ht="22.15" customHeight="1">
      <c r="A31" s="118"/>
      <c r="B31" s="119"/>
      <c r="C31" s="447"/>
      <c r="D31" s="120"/>
      <c r="E31" s="145">
        <v>26</v>
      </c>
      <c r="F31" s="146">
        <f t="shared" si="0"/>
        <v>1.026</v>
      </c>
      <c r="G31" s="147">
        <f t="shared" si="1"/>
        <v>6.5727579019176119</v>
      </c>
      <c r="H31" s="148">
        <f t="shared" si="2"/>
        <v>3.6744639376218231</v>
      </c>
      <c r="I31" s="147">
        <f t="shared" si="3"/>
        <v>6.5684380243043279</v>
      </c>
      <c r="J31" s="147">
        <f t="shared" si="4"/>
        <v>5.6219298245613896</v>
      </c>
      <c r="K31" s="147">
        <f t="shared" si="10"/>
        <v>5.9592456140350736</v>
      </c>
      <c r="L31" s="149">
        <f t="shared" si="5"/>
        <v>26.000000000000021</v>
      </c>
      <c r="M31" s="147">
        <f t="shared" si="6"/>
        <v>6.5723903272719326</v>
      </c>
      <c r="N31" s="148">
        <f t="shared" si="7"/>
        <v>67.392174129362402</v>
      </c>
      <c r="O31" s="148">
        <f t="shared" si="8"/>
        <v>4.0464683080259913</v>
      </c>
      <c r="P31" s="148">
        <f t="shared" si="9"/>
        <v>4.5982594409386266</v>
      </c>
      <c r="Q31" s="136" t="str">
        <f>+Q13</f>
        <v>°Brix</v>
      </c>
      <c r="R31" s="136">
        <f>+R13</f>
        <v>18.423724459904179</v>
      </c>
      <c r="S31" s="143">
        <f>+S13</f>
        <v>21.571707366000169</v>
      </c>
      <c r="T31" s="209">
        <v>99</v>
      </c>
      <c r="U31" s="109"/>
      <c r="V31" s="142"/>
      <c r="W31" s="142"/>
      <c r="X31" s="109"/>
      <c r="Y31" s="142"/>
      <c r="Z31" s="210">
        <f>+(1/Z30)*X29</f>
        <v>0.88</v>
      </c>
      <c r="AA31" s="109"/>
      <c r="AB31" s="109"/>
      <c r="AC31" s="109"/>
      <c r="AD31" s="109"/>
      <c r="AE31" s="109"/>
      <c r="AF31" s="109"/>
      <c r="AG31" s="109"/>
      <c r="AH31" s="109"/>
      <c r="AI31" s="109"/>
      <c r="AJ31" s="109"/>
      <c r="AK31" s="109"/>
      <c r="AL31" s="109"/>
      <c r="AM31" s="109"/>
      <c r="AN31" s="109"/>
      <c r="AO31" s="109"/>
      <c r="AP31" s="109"/>
      <c r="AQ31" s="109"/>
      <c r="AR31" s="109"/>
      <c r="AS31" s="109"/>
    </row>
    <row r="32" spans="1:45" ht="22.15" customHeight="1">
      <c r="A32" s="118"/>
      <c r="B32" s="119"/>
      <c r="C32" s="447"/>
      <c r="D32" s="120"/>
      <c r="E32" s="153">
        <v>27</v>
      </c>
      <c r="F32" s="146">
        <f t="shared" si="0"/>
        <v>1.0269999999999999</v>
      </c>
      <c r="G32" s="147">
        <f t="shared" si="1"/>
        <v>6.8198378499482715</v>
      </c>
      <c r="H32" s="148">
        <f t="shared" si="2"/>
        <v>3.8120740019473942</v>
      </c>
      <c r="I32" s="147">
        <f t="shared" si="3"/>
        <v>6.8153647364820245</v>
      </c>
      <c r="J32" s="147">
        <f t="shared" si="4"/>
        <v>5.8324732229795133</v>
      </c>
      <c r="K32" s="147">
        <f t="shared" si="10"/>
        <v>6.1824216163582841</v>
      </c>
      <c r="L32" s="149">
        <f t="shared" si="5"/>
        <v>26.999999999999915</v>
      </c>
      <c r="M32" s="147">
        <f t="shared" si="6"/>
        <v>6.8194829799509762</v>
      </c>
      <c r="N32" s="148">
        <f t="shared" si="7"/>
        <v>69.993795843670384</v>
      </c>
      <c r="O32" s="148">
        <f t="shared" si="8"/>
        <v>4.2026790246621948</v>
      </c>
      <c r="P32" s="148">
        <f t="shared" si="9"/>
        <v>4.7757716189343125</v>
      </c>
      <c r="Q32" s="136" t="str">
        <f>+Q16</f>
        <v>°KMW</v>
      </c>
      <c r="R32" s="136">
        <f>+R16</f>
        <v>15.669702602230503</v>
      </c>
      <c r="S32" s="143">
        <f>+S16</f>
        <v>18.317889908256884</v>
      </c>
      <c r="T32" s="209">
        <v>98</v>
      </c>
      <c r="U32" s="109"/>
      <c r="V32" s="142"/>
      <c r="W32" s="142"/>
      <c r="X32" s="142"/>
      <c r="Y32" s="142"/>
      <c r="Z32" s="211"/>
      <c r="AA32" s="109"/>
      <c r="AB32" s="109"/>
      <c r="AC32" s="109"/>
      <c r="AD32" s="109"/>
      <c r="AE32" s="109"/>
      <c r="AF32" s="109"/>
      <c r="AG32" s="109"/>
      <c r="AH32" s="109"/>
      <c r="AI32" s="109"/>
      <c r="AJ32" s="109"/>
      <c r="AK32" s="109"/>
      <c r="AL32" s="109"/>
      <c r="AM32" s="109"/>
      <c r="AN32" s="109"/>
      <c r="AO32" s="109"/>
      <c r="AP32" s="109"/>
      <c r="AQ32" s="109"/>
      <c r="AR32" s="109"/>
      <c r="AS32" s="109"/>
    </row>
    <row r="33" spans="1:45" ht="22.15" customHeight="1">
      <c r="A33" s="212"/>
      <c r="B33" s="179"/>
      <c r="C33" s="448"/>
      <c r="D33" s="120"/>
      <c r="E33" s="145">
        <v>28</v>
      </c>
      <c r="F33" s="146">
        <f t="shared" si="0"/>
        <v>1.028</v>
      </c>
      <c r="G33" s="147">
        <f t="shared" si="1"/>
        <v>7.0664907529151151</v>
      </c>
      <c r="H33" s="148">
        <f t="shared" si="2"/>
        <v>3.9494163424124622</v>
      </c>
      <c r="I33" s="147">
        <f t="shared" si="3"/>
        <v>7.0618768398080647</v>
      </c>
      <c r="J33" s="147">
        <f t="shared" si="4"/>
        <v>6.0426070038910673</v>
      </c>
      <c r="K33" s="147">
        <f t="shared" si="10"/>
        <v>6.4051634241245319</v>
      </c>
      <c r="L33" s="149">
        <f t="shared" si="5"/>
        <v>28.000000000000025</v>
      </c>
      <c r="M33" s="147">
        <f t="shared" si="6"/>
        <v>7.0661531021440851</v>
      </c>
      <c r="N33" s="148">
        <f t="shared" si="7"/>
        <v>72.596093913226909</v>
      </c>
      <c r="O33" s="148">
        <f t="shared" si="8"/>
        <v>4.3589303520979987</v>
      </c>
      <c r="P33" s="148">
        <f t="shared" si="9"/>
        <v>4.9533299455659074</v>
      </c>
      <c r="Q33" s="136" t="str">
        <f>+Q19</f>
        <v>°NM</v>
      </c>
      <c r="R33" s="136">
        <f>+R19</f>
        <v>16.609884758364334</v>
      </c>
      <c r="S33" s="143">
        <f>+S19</f>
        <v>19.416963302752297</v>
      </c>
      <c r="T33" s="209">
        <v>97</v>
      </c>
      <c r="U33" s="109"/>
      <c r="V33" s="142"/>
      <c r="W33" s="142"/>
      <c r="X33" s="142"/>
      <c r="Y33" s="142"/>
      <c r="Z33" s="191"/>
      <c r="AA33" s="109"/>
      <c r="AB33" s="109"/>
      <c r="AC33" s="109"/>
      <c r="AD33" s="109"/>
      <c r="AE33" s="109"/>
      <c r="AF33" s="109"/>
      <c r="AG33" s="109"/>
      <c r="AH33" s="109"/>
      <c r="AI33" s="109"/>
      <c r="AJ33" s="109"/>
      <c r="AK33" s="109"/>
      <c r="AL33" s="109"/>
      <c r="AM33" s="109"/>
      <c r="AN33" s="109"/>
      <c r="AO33" s="109"/>
      <c r="AP33" s="109"/>
      <c r="AQ33" s="109"/>
      <c r="AR33" s="109"/>
      <c r="AS33" s="109"/>
    </row>
    <row r="34" spans="1:45" ht="22.15" customHeight="1">
      <c r="A34" s="179"/>
      <c r="B34" s="179"/>
      <c r="C34" s="449" t="s">
        <v>318</v>
      </c>
      <c r="D34" s="120"/>
      <c r="E34" s="213">
        <v>29</v>
      </c>
      <c r="F34" s="214">
        <f t="shared" si="0"/>
        <v>1.0289999999999999</v>
      </c>
      <c r="G34" s="215">
        <f t="shared" si="1"/>
        <v>7.3127177055788479</v>
      </c>
      <c r="H34" s="216">
        <f t="shared" si="2"/>
        <v>4.0864917395529403</v>
      </c>
      <c r="I34" s="215">
        <f t="shared" si="3"/>
        <v>7.3079751938058735</v>
      </c>
      <c r="J34" s="215">
        <f t="shared" si="4"/>
        <v>6.2523323615159985</v>
      </c>
      <c r="K34" s="215">
        <f t="shared" si="10"/>
        <v>6.6274723032069591</v>
      </c>
      <c r="L34" s="217">
        <f t="shared" si="5"/>
        <v>28.999999999999915</v>
      </c>
      <c r="M34" s="215">
        <f t="shared" si="6"/>
        <v>7.3124015098330801</v>
      </c>
      <c r="N34" s="216">
        <f t="shared" si="7"/>
        <v>75.199064744262429</v>
      </c>
      <c r="O34" s="216">
        <f t="shared" si="8"/>
        <v>4.5152220745505653</v>
      </c>
      <c r="P34" s="216">
        <f t="shared" si="9"/>
        <v>5.1309341756256419</v>
      </c>
      <c r="Q34" s="136" t="str">
        <f>+Q22</f>
        <v>°Oechsle</v>
      </c>
      <c r="R34" s="136">
        <f>+R22</f>
        <v>76.000000000000071</v>
      </c>
      <c r="S34" s="143">
        <f>+S22</f>
        <v>90.000000000000085</v>
      </c>
      <c r="T34" s="209">
        <v>96</v>
      </c>
      <c r="U34" s="109"/>
      <c r="V34" s="154"/>
      <c r="W34" s="154"/>
      <c r="X34" s="154"/>
      <c r="Y34" s="154"/>
      <c r="Z34" s="218"/>
      <c r="AA34" s="109"/>
      <c r="AB34" s="109"/>
      <c r="AC34" s="109"/>
      <c r="AD34" s="109"/>
      <c r="AE34" s="109"/>
      <c r="AF34" s="109"/>
      <c r="AG34" s="109"/>
      <c r="AH34" s="109"/>
      <c r="AI34" s="109"/>
      <c r="AJ34" s="109"/>
      <c r="AK34" s="109"/>
      <c r="AL34" s="109"/>
      <c r="AM34" s="109"/>
      <c r="AN34" s="109"/>
      <c r="AO34" s="109"/>
      <c r="AP34" s="109"/>
      <c r="AQ34" s="109"/>
      <c r="AR34" s="109"/>
      <c r="AS34" s="109"/>
    </row>
    <row r="35" spans="1:45" ht="22.15" customHeight="1">
      <c r="A35" s="219"/>
      <c r="B35" s="219"/>
      <c r="C35" s="450"/>
      <c r="D35" s="219"/>
      <c r="E35" s="220">
        <v>30</v>
      </c>
      <c r="F35" s="221">
        <f>(E35+1000)/1000</f>
        <v>1.03</v>
      </c>
      <c r="G35" s="215">
        <f t="shared" si="1"/>
        <v>7.5585198026999478</v>
      </c>
      <c r="H35" s="215">
        <f>+$H$2-($H$2/F35)</f>
        <v>4.2233009708737939</v>
      </c>
      <c r="I35" s="215">
        <f t="shared" si="3"/>
        <v>7.5536606580000125</v>
      </c>
      <c r="J35" s="215">
        <f>+H35*$J$2</f>
        <v>6.4616504854369046</v>
      </c>
      <c r="K35" s="215">
        <f t="shared" si="10"/>
        <v>6.8493495145631194</v>
      </c>
      <c r="L35" s="217">
        <f>+$L$2*(F35-1)</f>
        <v>30.000000000000028</v>
      </c>
      <c r="M35" s="215">
        <f t="shared" si="6"/>
        <v>7.5582290190000094</v>
      </c>
      <c r="N35" s="215">
        <f>F35*(I35*10)</f>
        <v>77.802704777400137</v>
      </c>
      <c r="O35" s="215">
        <f t="shared" si="8"/>
        <v>4.6715539783021187</v>
      </c>
      <c r="P35" s="215">
        <f t="shared" si="9"/>
        <v>5.3085840662524078</v>
      </c>
      <c r="Q35" s="136" t="str">
        <f>+Q25</f>
        <v>°Plato</v>
      </c>
      <c r="R35" s="136">
        <f>+R25</f>
        <v>18.425416363072031</v>
      </c>
      <c r="S35" s="143">
        <f>+S25</f>
        <v>21.568495713000061</v>
      </c>
      <c r="T35" s="209">
        <v>94</v>
      </c>
      <c r="U35" s="222" t="s">
        <v>280</v>
      </c>
      <c r="V35" s="133"/>
      <c r="W35" s="133"/>
      <c r="X35" s="133"/>
      <c r="Y35" s="133"/>
      <c r="Z35" s="189"/>
      <c r="AA35" s="109"/>
      <c r="AB35" s="109"/>
      <c r="AC35" s="109"/>
      <c r="AD35" s="109"/>
      <c r="AE35" s="109"/>
      <c r="AF35" s="109"/>
      <c r="AG35" s="109"/>
      <c r="AH35" s="109"/>
      <c r="AI35" s="109"/>
      <c r="AJ35" s="109"/>
      <c r="AK35" s="109"/>
      <c r="AL35" s="109"/>
      <c r="AM35" s="109"/>
      <c r="AN35" s="109"/>
      <c r="AO35" s="109"/>
      <c r="AP35" s="109"/>
      <c r="AQ35" s="109"/>
      <c r="AR35" s="109"/>
      <c r="AS35" s="109"/>
    </row>
    <row r="36" spans="1:45" ht="22.15" customHeight="1">
      <c r="A36" s="219"/>
      <c r="B36" s="219"/>
      <c r="C36" s="450"/>
      <c r="D36" s="219"/>
      <c r="E36" s="213">
        <v>31</v>
      </c>
      <c r="F36" s="223">
        <f t="shared" ref="F36:F99" si="11">(E36+1000)/1000</f>
        <v>1.0309999999999999</v>
      </c>
      <c r="G36" s="215">
        <f t="shared" si="1"/>
        <v>7.8038981390390063</v>
      </c>
      <c r="H36" s="224">
        <f t="shared" ref="H36:H99" si="12">+$H$2-($H$2/F36)</f>
        <v>4.3598448108632226</v>
      </c>
      <c r="I36" s="224">
        <f t="shared" si="3"/>
        <v>7.7989340919140204</v>
      </c>
      <c r="J36" s="215">
        <f t="shared" ref="J36:J99" si="13">+H36*$J$2</f>
        <v>6.6705625606207306</v>
      </c>
      <c r="K36" s="215">
        <f t="shared" si="10"/>
        <v>7.0707963142579748</v>
      </c>
      <c r="L36" s="225">
        <f t="shared" ref="L36:L99" si="14">+$L$2*(F36-1)</f>
        <v>30.999999999999915</v>
      </c>
      <c r="M36" s="215">
        <f t="shared" si="6"/>
        <v>7.8036364456269212</v>
      </c>
      <c r="N36" s="226">
        <f t="shared" ref="N36:N99" si="15">F36*(I36*10)</f>
        <v>80.407010487633542</v>
      </c>
      <c r="O36" s="216">
        <f t="shared" si="8"/>
        <v>4.8279258516986054</v>
      </c>
      <c r="P36" s="216">
        <f t="shared" si="9"/>
        <v>5.4862793769302334</v>
      </c>
      <c r="Q36" s="131" t="str">
        <f>+F3</f>
        <v>Must density</v>
      </c>
      <c r="R36" s="227">
        <f>VLOOKUP($R$4,$E$5:$P$155,2)</f>
        <v>1.0760000000000001</v>
      </c>
      <c r="S36" s="228">
        <f>VLOOKUP($S$4,$E$5:$P$155,2)</f>
        <v>1.0900000000000001</v>
      </c>
      <c r="T36" s="209">
        <v>92</v>
      </c>
      <c r="U36" s="144" t="s">
        <v>247</v>
      </c>
      <c r="V36" s="142"/>
      <c r="W36" s="142"/>
      <c r="X36" s="142"/>
      <c r="Y36" s="142" t="s">
        <v>268</v>
      </c>
      <c r="Z36" s="229">
        <v>1.5873014778095704</v>
      </c>
      <c r="AA36" s="109"/>
      <c r="AB36" s="109"/>
      <c r="AC36" s="109"/>
      <c r="AD36" s="109"/>
      <c r="AE36" s="109"/>
      <c r="AF36" s="109"/>
      <c r="AG36" s="109"/>
      <c r="AH36" s="109"/>
      <c r="AI36" s="109"/>
      <c r="AJ36" s="109"/>
      <c r="AK36" s="109"/>
      <c r="AL36" s="109"/>
      <c r="AM36" s="109"/>
      <c r="AN36" s="109"/>
      <c r="AO36" s="109"/>
      <c r="AP36" s="109"/>
      <c r="AQ36" s="109"/>
      <c r="AR36" s="109"/>
      <c r="AS36" s="109"/>
    </row>
    <row r="37" spans="1:45" ht="22.15" customHeight="1">
      <c r="A37" s="219"/>
      <c r="B37" s="219"/>
      <c r="C37" s="450"/>
      <c r="D37" s="219"/>
      <c r="E37" s="220">
        <v>32</v>
      </c>
      <c r="F37" s="223">
        <f t="shared" si="11"/>
        <v>1.032</v>
      </c>
      <c r="G37" s="215">
        <f t="shared" ref="G37:G68" si="16">+((($Z$18*F37-$Z$19)*F37+$Z$20)*F37-$Z$21)</f>
        <v>8.0488538093567286</v>
      </c>
      <c r="H37" s="224">
        <f t="shared" si="12"/>
        <v>4.4961240310077528</v>
      </c>
      <c r="I37" s="224">
        <f t="shared" ref="I37:I68" si="17">($Z$11*F37^3)-($Z$12*F37^2)+($Z$13*F37)-$Z$14</f>
        <v>8.0437963550721179</v>
      </c>
      <c r="J37" s="215">
        <f t="shared" si="13"/>
        <v>6.8790697674418615</v>
      </c>
      <c r="K37" s="215">
        <f t="shared" si="10"/>
        <v>7.2918139534883739</v>
      </c>
      <c r="L37" s="225">
        <f t="shared" si="14"/>
        <v>32.000000000000028</v>
      </c>
      <c r="M37" s="215">
        <f t="shared" ref="M37:M68" si="18">+((($Z$22*F37-$Z$23)*F37+$Z$24)*F37-$Z$25)</f>
        <v>8.0486246056959772</v>
      </c>
      <c r="N37" s="226">
        <f t="shared" si="15"/>
        <v>83.01197838434426</v>
      </c>
      <c r="O37" s="216">
        <f t="shared" ref="O37:O68" si="19">+P37*$Z$31</f>
        <v>4.9843374851507507</v>
      </c>
      <c r="P37" s="216">
        <f t="shared" ref="P37:P68" si="20">+(((N37/$Z$26)*$Z$27)/$Z$28)/$Z$29</f>
        <v>5.6640198694894899</v>
      </c>
      <c r="Q37" s="167" t="str">
        <f>+F4</f>
        <v>at 20 °C [SG]</v>
      </c>
      <c r="R37" s="230"/>
      <c r="S37" s="231"/>
      <c r="T37" s="178">
        <v>90</v>
      </c>
      <c r="U37" s="157" t="s">
        <v>240</v>
      </c>
      <c r="V37" s="154"/>
      <c r="W37" s="154"/>
      <c r="X37" s="154"/>
      <c r="Y37" s="154" t="s">
        <v>244</v>
      </c>
      <c r="Z37" s="232">
        <v>145</v>
      </c>
      <c r="AA37" s="109"/>
      <c r="AB37" s="109"/>
      <c r="AC37" s="109"/>
      <c r="AD37" s="109"/>
      <c r="AE37" s="109"/>
      <c r="AF37" s="109"/>
      <c r="AG37" s="109"/>
      <c r="AH37" s="109"/>
      <c r="AI37" s="109"/>
      <c r="AJ37" s="109"/>
      <c r="AK37" s="109"/>
      <c r="AL37" s="109"/>
      <c r="AM37" s="109"/>
      <c r="AN37" s="109"/>
      <c r="AO37" s="109"/>
      <c r="AP37" s="109"/>
      <c r="AQ37" s="109"/>
      <c r="AR37" s="109"/>
      <c r="AS37" s="109"/>
    </row>
    <row r="38" spans="1:45" ht="22.15" customHeight="1">
      <c r="A38" s="219"/>
      <c r="B38" s="219"/>
      <c r="C38" s="450"/>
      <c r="D38" s="219"/>
      <c r="E38" s="220">
        <v>33</v>
      </c>
      <c r="F38" s="223">
        <f t="shared" si="11"/>
        <v>1.0329999999999999</v>
      </c>
      <c r="G38" s="215">
        <f t="shared" si="16"/>
        <v>8.2933879084135924</v>
      </c>
      <c r="H38" s="224">
        <f t="shared" si="12"/>
        <v>4.6321393998063911</v>
      </c>
      <c r="I38" s="224">
        <f t="shared" si="17"/>
        <v>8.2882483069980708</v>
      </c>
      <c r="J38" s="215">
        <f t="shared" si="13"/>
        <v>7.0871732817037785</v>
      </c>
      <c r="K38" s="215">
        <f t="shared" si="10"/>
        <v>7.512403678606006</v>
      </c>
      <c r="L38" s="225">
        <f t="shared" si="14"/>
        <v>32.999999999999915</v>
      </c>
      <c r="M38" s="215">
        <f t="shared" si="18"/>
        <v>8.2931943151889982</v>
      </c>
      <c r="N38" s="226">
        <f t="shared" si="15"/>
        <v>85.617605011290067</v>
      </c>
      <c r="O38" s="216">
        <f t="shared" si="19"/>
        <v>5.1407886711333548</v>
      </c>
      <c r="P38" s="216">
        <f t="shared" si="20"/>
        <v>5.8418053081060854</v>
      </c>
      <c r="Q38" s="233" t="s">
        <v>113</v>
      </c>
      <c r="R38" s="233"/>
      <c r="S38" s="234"/>
      <c r="T38" s="178">
        <v>88</v>
      </c>
      <c r="U38" s="181" t="s">
        <v>284</v>
      </c>
      <c r="V38" s="133"/>
      <c r="W38" s="133" t="s">
        <v>281</v>
      </c>
      <c r="X38" s="133"/>
      <c r="Y38" s="133"/>
      <c r="Z38" s="189">
        <v>1.6459999999999999</v>
      </c>
      <c r="AA38" s="109"/>
      <c r="AB38" s="109"/>
      <c r="AC38" s="109"/>
      <c r="AD38" s="109"/>
      <c r="AE38" s="109"/>
      <c r="AF38" s="109"/>
      <c r="AG38" s="109"/>
      <c r="AH38" s="109"/>
      <c r="AI38" s="109"/>
      <c r="AJ38" s="109"/>
      <c r="AK38" s="109"/>
      <c r="AL38" s="109"/>
      <c r="AM38" s="109"/>
      <c r="AN38" s="109"/>
      <c r="AO38" s="109"/>
      <c r="AP38" s="109"/>
      <c r="AQ38" s="109"/>
      <c r="AR38" s="109"/>
      <c r="AS38" s="109"/>
    </row>
    <row r="39" spans="1:45" ht="22.15" customHeight="1">
      <c r="A39" s="219"/>
      <c r="B39" s="219"/>
      <c r="C39" s="450"/>
      <c r="D39" s="219"/>
      <c r="E39" s="220">
        <v>34</v>
      </c>
      <c r="F39" s="223">
        <f t="shared" si="11"/>
        <v>1.034</v>
      </c>
      <c r="G39" s="215">
        <f t="shared" si="16"/>
        <v>8.5375015309704168</v>
      </c>
      <c r="H39" s="224">
        <f t="shared" si="12"/>
        <v>4.7678916827852902</v>
      </c>
      <c r="I39" s="224">
        <f t="shared" si="17"/>
        <v>8.5322908072160999</v>
      </c>
      <c r="J39" s="215">
        <f t="shared" si="13"/>
        <v>7.2948742746614945</v>
      </c>
      <c r="K39" s="215">
        <f t="shared" si="10"/>
        <v>7.7325667311411843</v>
      </c>
      <c r="L39" s="225">
        <f t="shared" si="14"/>
        <v>34.000000000000028</v>
      </c>
      <c r="M39" s="215">
        <f t="shared" si="18"/>
        <v>8.5373463900880324</v>
      </c>
      <c r="N39" s="226">
        <f t="shared" si="15"/>
        <v>88.223886946614471</v>
      </c>
      <c r="O39" s="216">
        <f t="shared" si="19"/>
        <v>5.2972792041858554</v>
      </c>
      <c r="P39" s="216">
        <f t="shared" si="20"/>
        <v>6.0196354593021084</v>
      </c>
      <c r="Q39" s="233" t="s">
        <v>295</v>
      </c>
      <c r="R39" s="233"/>
      <c r="S39" s="234"/>
      <c r="T39" s="178">
        <v>86</v>
      </c>
      <c r="U39" s="144" t="s">
        <v>68</v>
      </c>
      <c r="V39" s="142" t="s">
        <v>285</v>
      </c>
      <c r="W39" s="150">
        <f>($Z$38*Z42)-($Z$39*($Z$40-($Z$40/Z44)-$Z$41))</f>
        <v>7.4914911970617233</v>
      </c>
      <c r="X39" s="142" t="s">
        <v>286</v>
      </c>
      <c r="Y39" s="142"/>
      <c r="Z39" s="191">
        <v>2.7029999999999998</v>
      </c>
      <c r="AA39" s="109"/>
      <c r="AB39" s="109"/>
      <c r="AC39" s="109"/>
      <c r="AD39" s="109"/>
      <c r="AE39" s="109"/>
      <c r="AF39" s="109"/>
      <c r="AG39" s="109"/>
      <c r="AH39" s="109"/>
      <c r="AI39" s="109"/>
      <c r="AJ39" s="109"/>
      <c r="AK39" s="109"/>
      <c r="AL39" s="109"/>
      <c r="AM39" s="109"/>
      <c r="AN39" s="109"/>
      <c r="AO39" s="109"/>
      <c r="AP39" s="109"/>
      <c r="AQ39" s="109"/>
      <c r="AR39" s="109"/>
      <c r="AS39" s="109"/>
    </row>
    <row r="40" spans="1:45" ht="22.15" customHeight="1">
      <c r="A40" s="219"/>
      <c r="B40" s="219"/>
      <c r="C40" s="450"/>
      <c r="D40" s="219"/>
      <c r="E40" s="220">
        <v>35</v>
      </c>
      <c r="F40" s="223">
        <f t="shared" si="11"/>
        <v>1.0349999999999999</v>
      </c>
      <c r="G40" s="215">
        <f t="shared" si="16"/>
        <v>8.781195771787452</v>
      </c>
      <c r="H40" s="224">
        <f t="shared" si="12"/>
        <v>4.9033816425120733</v>
      </c>
      <c r="I40" s="224">
        <f t="shared" si="17"/>
        <v>8.7759247152500848</v>
      </c>
      <c r="J40" s="215">
        <f t="shared" si="13"/>
        <v>7.5021739130434719</v>
      </c>
      <c r="K40" s="215">
        <f t="shared" si="10"/>
        <v>7.9523043478260806</v>
      </c>
      <c r="L40" s="225">
        <f t="shared" si="14"/>
        <v>34.999999999999922</v>
      </c>
      <c r="M40" s="215">
        <f t="shared" si="18"/>
        <v>8.7810816463749006</v>
      </c>
      <c r="N40" s="226">
        <f t="shared" si="15"/>
        <v>90.830820802838375</v>
      </c>
      <c r="O40" s="216">
        <f t="shared" si="19"/>
        <v>5.4538088809118355</v>
      </c>
      <c r="P40" s="216">
        <f t="shared" si="20"/>
        <v>6.1975100919452677</v>
      </c>
      <c r="Q40" s="233"/>
      <c r="R40" s="233"/>
      <c r="S40" s="234"/>
      <c r="T40" s="178">
        <v>84</v>
      </c>
      <c r="U40" s="144" t="s">
        <v>69</v>
      </c>
      <c r="V40" s="142" t="s">
        <v>285</v>
      </c>
      <c r="W40" s="150">
        <f>($Z$38*Z43)-($Z$39*($Z$40-($Z$40/Z45)-$Z$41))</f>
        <v>7.9946068198491176</v>
      </c>
      <c r="X40" s="142" t="s">
        <v>286</v>
      </c>
      <c r="Y40" s="142"/>
      <c r="Z40" s="191">
        <v>145</v>
      </c>
      <c r="AA40" s="109"/>
      <c r="AB40" s="109"/>
      <c r="AC40" s="235"/>
      <c r="AD40" s="109"/>
      <c r="AE40" s="109"/>
      <c r="AF40" s="109"/>
      <c r="AG40" s="109"/>
      <c r="AH40" s="109"/>
      <c r="AI40" s="109"/>
      <c r="AJ40" s="109"/>
      <c r="AK40" s="109"/>
      <c r="AL40" s="109"/>
      <c r="AM40" s="109"/>
      <c r="AN40" s="109"/>
      <c r="AO40" s="109"/>
      <c r="AP40" s="109"/>
      <c r="AQ40" s="109"/>
      <c r="AR40" s="109"/>
      <c r="AS40" s="161"/>
    </row>
    <row r="41" spans="1:45" ht="22.15" customHeight="1">
      <c r="A41" s="219"/>
      <c r="B41" s="219"/>
      <c r="C41" s="450"/>
      <c r="D41" s="219"/>
      <c r="E41" s="220">
        <v>36</v>
      </c>
      <c r="F41" s="223">
        <f t="shared" si="11"/>
        <v>1.036</v>
      </c>
      <c r="G41" s="215">
        <f t="shared" si="16"/>
        <v>9.0244717256256308</v>
      </c>
      <c r="H41" s="224">
        <f t="shared" si="12"/>
        <v>5.0386100386100452</v>
      </c>
      <c r="I41" s="224">
        <f t="shared" si="17"/>
        <v>9.0191508906241324</v>
      </c>
      <c r="J41" s="215">
        <f t="shared" si="13"/>
        <v>7.7090733590733693</v>
      </c>
      <c r="K41" s="215">
        <f t="shared" si="10"/>
        <v>8.1716177606177727</v>
      </c>
      <c r="L41" s="225">
        <f t="shared" si="14"/>
        <v>36.000000000000028</v>
      </c>
      <c r="M41" s="215">
        <f t="shared" si="18"/>
        <v>9.024400900031992</v>
      </c>
      <c r="N41" s="226">
        <f t="shared" si="15"/>
        <v>93.438403226866015</v>
      </c>
      <c r="O41" s="216">
        <f t="shared" si="19"/>
        <v>5.6103774999793741</v>
      </c>
      <c r="P41" s="216">
        <f t="shared" si="20"/>
        <v>6.3754289772492889</v>
      </c>
      <c r="Q41" s="233" t="s">
        <v>105</v>
      </c>
      <c r="R41" s="233" t="s">
        <v>105</v>
      </c>
      <c r="S41" s="234"/>
      <c r="T41" s="178">
        <v>82</v>
      </c>
      <c r="U41" s="144"/>
      <c r="V41" s="142"/>
      <c r="W41" s="142"/>
      <c r="X41" s="142"/>
      <c r="Y41" s="142"/>
      <c r="Z41" s="191">
        <v>1.794</v>
      </c>
      <c r="AA41" s="109"/>
      <c r="AB41" s="109"/>
      <c r="AC41" s="109"/>
      <c r="AD41" s="109"/>
      <c r="AE41" s="109"/>
      <c r="AF41" s="109"/>
      <c r="AG41" s="109"/>
      <c r="AH41" s="109"/>
      <c r="AI41" s="109"/>
      <c r="AJ41" s="109"/>
      <c r="AK41" s="109"/>
      <c r="AL41" s="109"/>
      <c r="AM41" s="109"/>
      <c r="AN41" s="109"/>
      <c r="AO41" s="109"/>
      <c r="AP41" s="109"/>
      <c r="AQ41" s="109"/>
      <c r="AR41" s="109"/>
      <c r="AS41" s="161"/>
    </row>
    <row r="42" spans="1:45" ht="22.15" customHeight="1">
      <c r="A42" s="219"/>
      <c r="B42" s="219"/>
      <c r="C42" s="450"/>
      <c r="D42" s="219"/>
      <c r="E42" s="220">
        <v>37</v>
      </c>
      <c r="F42" s="223">
        <f t="shared" si="11"/>
        <v>1.0369999999999999</v>
      </c>
      <c r="G42" s="215">
        <f t="shared" si="16"/>
        <v>9.2673304872453173</v>
      </c>
      <c r="H42" s="224">
        <f t="shared" si="12"/>
        <v>5.1735776277724028</v>
      </c>
      <c r="I42" s="224">
        <f t="shared" si="17"/>
        <v>9.2619701928621225</v>
      </c>
      <c r="J42" s="215">
        <f t="shared" si="13"/>
        <v>7.9155737704917764</v>
      </c>
      <c r="K42" s="215">
        <f t="shared" si="10"/>
        <v>8.3905081967212833</v>
      </c>
      <c r="L42" s="225">
        <f t="shared" si="14"/>
        <v>36.999999999999922</v>
      </c>
      <c r="M42" s="215">
        <f t="shared" si="18"/>
        <v>9.2673049670410137</v>
      </c>
      <c r="N42" s="226">
        <f t="shared" si="15"/>
        <v>96.046630899980201</v>
      </c>
      <c r="O42" s="215">
        <f t="shared" si="19"/>
        <v>5.7669848621207676</v>
      </c>
      <c r="P42" s="216">
        <f t="shared" si="20"/>
        <v>6.5533918887735991</v>
      </c>
      <c r="Q42" s="233" t="s">
        <v>289</v>
      </c>
      <c r="R42" s="233"/>
      <c r="S42" s="234"/>
      <c r="T42" s="192">
        <v>80</v>
      </c>
      <c r="U42" s="144" t="s">
        <v>68</v>
      </c>
      <c r="V42" s="142"/>
      <c r="W42" s="142"/>
      <c r="X42" s="142"/>
      <c r="Y42" s="142" t="s">
        <v>282</v>
      </c>
      <c r="Z42" s="210">
        <f>+AA4</f>
        <v>18.423724459904179</v>
      </c>
      <c r="AA42" s="109"/>
      <c r="AB42" s="109"/>
      <c r="AC42" s="109"/>
      <c r="AD42" s="109"/>
      <c r="AE42" s="109"/>
      <c r="AF42" s="109"/>
      <c r="AG42" s="109"/>
      <c r="AH42" s="109"/>
      <c r="AI42" s="109"/>
      <c r="AJ42" s="109"/>
      <c r="AK42" s="109"/>
      <c r="AL42" s="109"/>
      <c r="AM42" s="109"/>
      <c r="AN42" s="109"/>
      <c r="AO42" s="109"/>
      <c r="AP42" s="109"/>
      <c r="AQ42" s="109"/>
      <c r="AR42" s="109"/>
      <c r="AS42" s="161"/>
    </row>
    <row r="43" spans="1:45" ht="22.15" customHeight="1">
      <c r="A43" s="219"/>
      <c r="B43" s="219"/>
      <c r="C43" s="450"/>
      <c r="D43" s="219"/>
      <c r="E43" s="220">
        <v>38</v>
      </c>
      <c r="F43" s="223">
        <f t="shared" si="11"/>
        <v>1.038</v>
      </c>
      <c r="G43" s="215">
        <f t="shared" si="16"/>
        <v>9.5097731514071029</v>
      </c>
      <c r="H43" s="224">
        <f t="shared" si="12"/>
        <v>5.3082851637765032</v>
      </c>
      <c r="I43" s="224">
        <f t="shared" si="17"/>
        <v>9.504383481488162</v>
      </c>
      <c r="J43" s="215">
        <f t="shared" si="13"/>
        <v>8.1216763005780503</v>
      </c>
      <c r="K43" s="215">
        <f t="shared" si="10"/>
        <v>8.608976878612733</v>
      </c>
      <c r="L43" s="225">
        <f t="shared" si="14"/>
        <v>38.000000000000036</v>
      </c>
      <c r="M43" s="215">
        <f t="shared" si="18"/>
        <v>9.5097946633840138</v>
      </c>
      <c r="N43" s="226">
        <f t="shared" si="15"/>
        <v>98.655500537847132</v>
      </c>
      <c r="O43" s="216">
        <f t="shared" si="19"/>
        <v>5.9236307701328128</v>
      </c>
      <c r="P43" s="216">
        <f t="shared" si="20"/>
        <v>6.731398602423651</v>
      </c>
      <c r="Q43" s="233" t="s">
        <v>104</v>
      </c>
      <c r="R43" s="233" t="s">
        <v>104</v>
      </c>
      <c r="S43" s="234"/>
      <c r="T43" s="192">
        <v>78</v>
      </c>
      <c r="U43" s="144" t="s">
        <v>69</v>
      </c>
      <c r="V43" s="142"/>
      <c r="W43" s="142"/>
      <c r="X43" s="142"/>
      <c r="Y43" s="142" t="s">
        <v>282</v>
      </c>
      <c r="Z43" s="210">
        <f>+AB4</f>
        <v>21.571707366000169</v>
      </c>
      <c r="AA43" s="109"/>
      <c r="AB43" s="109"/>
      <c r="AC43" s="109"/>
      <c r="AD43" s="109"/>
      <c r="AE43" s="109"/>
      <c r="AF43" s="109"/>
      <c r="AG43" s="109"/>
      <c r="AH43" s="109"/>
      <c r="AI43" s="109"/>
      <c r="AJ43" s="109"/>
      <c r="AK43" s="109"/>
      <c r="AL43" s="109"/>
      <c r="AM43" s="109"/>
      <c r="AN43" s="109"/>
      <c r="AO43" s="109"/>
      <c r="AP43" s="109"/>
      <c r="AQ43" s="109"/>
      <c r="AR43" s="109"/>
      <c r="AS43" s="161"/>
    </row>
    <row r="44" spans="1:45" ht="22.15" customHeight="1">
      <c r="A44" s="219"/>
      <c r="B44" s="219"/>
      <c r="C44" s="450"/>
      <c r="D44" s="219"/>
      <c r="E44" s="220">
        <v>39</v>
      </c>
      <c r="F44" s="223">
        <f t="shared" si="11"/>
        <v>1.0389999999999999</v>
      </c>
      <c r="G44" s="215">
        <f t="shared" si="16"/>
        <v>9.7518008128719202</v>
      </c>
      <c r="H44" s="224">
        <f t="shared" si="12"/>
        <v>5.4427333974975909</v>
      </c>
      <c r="I44" s="224">
        <f t="shared" si="17"/>
        <v>9.7463916160261306</v>
      </c>
      <c r="J44" s="215">
        <f t="shared" si="13"/>
        <v>8.3273820981713147</v>
      </c>
      <c r="K44" s="215">
        <f t="shared" si="10"/>
        <v>8.8270250240615944</v>
      </c>
      <c r="L44" s="225">
        <f t="shared" si="14"/>
        <v>38.999999999999922</v>
      </c>
      <c r="M44" s="215">
        <f t="shared" si="18"/>
        <v>9.7518708050429268</v>
      </c>
      <c r="N44" s="226">
        <f t="shared" si="15"/>
        <v>101.2650088905115</v>
      </c>
      <c r="O44" s="216">
        <f t="shared" si="19"/>
        <v>6.0803150288765115</v>
      </c>
      <c r="P44" s="216">
        <f t="shared" si="20"/>
        <v>6.9094488964505816</v>
      </c>
      <c r="Q44" s="233" t="s">
        <v>112</v>
      </c>
      <c r="R44" s="233"/>
      <c r="S44" s="234"/>
      <c r="T44" s="192">
        <v>76</v>
      </c>
      <c r="U44" s="144" t="s">
        <v>68</v>
      </c>
      <c r="V44" s="142"/>
      <c r="W44" s="142"/>
      <c r="X44" s="142"/>
      <c r="Y44" s="142" t="s">
        <v>283</v>
      </c>
      <c r="Z44" s="236">
        <f>+R36</f>
        <v>1.0760000000000001</v>
      </c>
      <c r="AA44" s="109"/>
      <c r="AB44" s="109"/>
      <c r="AC44" s="109"/>
      <c r="AD44" s="109"/>
      <c r="AE44" s="109"/>
      <c r="AF44" s="109"/>
      <c r="AG44" s="109"/>
      <c r="AH44" s="109"/>
      <c r="AI44" s="109"/>
      <c r="AJ44" s="109"/>
      <c r="AK44" s="109"/>
      <c r="AL44" s="109"/>
      <c r="AM44" s="109"/>
      <c r="AN44" s="109"/>
      <c r="AO44" s="109"/>
      <c r="AP44" s="109"/>
      <c r="AQ44" s="109"/>
      <c r="AR44" s="109"/>
      <c r="AS44" s="109"/>
    </row>
    <row r="45" spans="1:45" ht="22.15" customHeight="1">
      <c r="A45" s="219"/>
      <c r="B45" s="219"/>
      <c r="C45" s="450"/>
      <c r="D45" s="219"/>
      <c r="E45" s="220">
        <v>40</v>
      </c>
      <c r="F45" s="223">
        <f t="shared" si="11"/>
        <v>1.04</v>
      </c>
      <c r="G45" s="215">
        <f t="shared" si="16"/>
        <v>9.9934145663999061</v>
      </c>
      <c r="H45" s="224">
        <f t="shared" si="12"/>
        <v>5.5769230769230944</v>
      </c>
      <c r="I45" s="224">
        <f t="shared" si="17"/>
        <v>9.9879954560001352</v>
      </c>
      <c r="J45" s="215">
        <f t="shared" si="13"/>
        <v>8.5326923076923347</v>
      </c>
      <c r="K45" s="215">
        <f t="shared" si="10"/>
        <v>9.0446538461538744</v>
      </c>
      <c r="L45" s="225">
        <f t="shared" si="14"/>
        <v>40.000000000000036</v>
      </c>
      <c r="M45" s="215">
        <f t="shared" si="18"/>
        <v>9.9935342080000282</v>
      </c>
      <c r="N45" s="226">
        <f t="shared" si="15"/>
        <v>103.87515274240141</v>
      </c>
      <c r="O45" s="216">
        <f t="shared" si="19"/>
        <v>6.2370374452773749</v>
      </c>
      <c r="P45" s="216">
        <f t="shared" si="20"/>
        <v>7.0875425514515626</v>
      </c>
      <c r="Q45" s="233" t="s">
        <v>106</v>
      </c>
      <c r="R45" s="233" t="s">
        <v>106</v>
      </c>
      <c r="S45" s="234"/>
      <c r="T45" s="178"/>
      <c r="U45" s="157" t="s">
        <v>69</v>
      </c>
      <c r="V45" s="154"/>
      <c r="W45" s="154"/>
      <c r="X45" s="154"/>
      <c r="Y45" s="154" t="s">
        <v>283</v>
      </c>
      <c r="Z45" s="237">
        <f>+S36</f>
        <v>1.0900000000000001</v>
      </c>
      <c r="AA45" s="109"/>
      <c r="AB45" s="109"/>
      <c r="AC45" s="109"/>
      <c r="AD45" s="109"/>
      <c r="AE45" s="109"/>
      <c r="AF45" s="109"/>
      <c r="AG45" s="109"/>
      <c r="AH45" s="109"/>
      <c r="AI45" s="109"/>
      <c r="AJ45" s="109"/>
      <c r="AK45" s="109"/>
      <c r="AL45" s="109"/>
      <c r="AM45" s="109"/>
      <c r="AN45" s="109"/>
      <c r="AO45" s="109"/>
      <c r="AP45" s="109"/>
      <c r="AQ45" s="109"/>
      <c r="AR45" s="109"/>
      <c r="AS45" s="109"/>
    </row>
    <row r="46" spans="1:45" ht="22.15" customHeight="1">
      <c r="A46" s="219"/>
      <c r="B46" s="219"/>
      <c r="C46" s="450"/>
      <c r="D46" s="219"/>
      <c r="E46" s="220">
        <v>41</v>
      </c>
      <c r="F46" s="223">
        <f t="shared" si="11"/>
        <v>1.0409999999999999</v>
      </c>
      <c r="G46" s="215">
        <f t="shared" si="16"/>
        <v>10.234615506751993</v>
      </c>
      <c r="H46" s="224">
        <f t="shared" si="12"/>
        <v>5.7108549471661831</v>
      </c>
      <c r="I46" s="224">
        <f t="shared" si="17"/>
        <v>10.229195860934055</v>
      </c>
      <c r="J46" s="215">
        <f t="shared" si="13"/>
        <v>8.7376080691642599</v>
      </c>
      <c r="K46" s="215">
        <f t="shared" si="10"/>
        <v>9.2618645533141155</v>
      </c>
      <c r="L46" s="225">
        <f t="shared" si="14"/>
        <v>40.999999999999929</v>
      </c>
      <c r="M46" s="215">
        <f t="shared" si="18"/>
        <v>10.234785688236911</v>
      </c>
      <c r="N46" s="226">
        <f t="shared" si="15"/>
        <v>106.48592891232352</v>
      </c>
      <c r="O46" s="216">
        <f t="shared" si="19"/>
        <v>6.3937978283251207</v>
      </c>
      <c r="P46" s="216">
        <f t="shared" si="20"/>
        <v>7.2656793503694557</v>
      </c>
      <c r="Q46" s="233" t="s">
        <v>103</v>
      </c>
      <c r="R46" s="233"/>
      <c r="S46" s="234"/>
      <c r="T46" s="109"/>
      <c r="U46" s="109"/>
      <c r="V46" s="109"/>
      <c r="W46" s="109"/>
      <c r="X46" s="109"/>
      <c r="Y46" s="109"/>
      <c r="Z46" s="109"/>
      <c r="AA46" s="109"/>
      <c r="AB46" s="109"/>
      <c r="AC46" s="109"/>
      <c r="AD46" s="109"/>
      <c r="AE46" s="109"/>
      <c r="AF46" s="109"/>
      <c r="AG46" s="109"/>
      <c r="AH46" s="109"/>
      <c r="AI46" s="109"/>
      <c r="AJ46" s="109"/>
      <c r="AK46" s="109"/>
      <c r="AL46" s="109"/>
      <c r="AM46" s="109"/>
      <c r="AN46" s="109"/>
      <c r="AO46" s="109"/>
      <c r="AP46" s="109"/>
      <c r="AQ46" s="109"/>
      <c r="AR46" s="109"/>
      <c r="AS46" s="109"/>
    </row>
    <row r="47" spans="1:45" ht="22.15" customHeight="1">
      <c r="A47" s="219"/>
      <c r="B47" s="219"/>
      <c r="C47" s="450"/>
      <c r="D47" s="219"/>
      <c r="E47" s="220">
        <v>42</v>
      </c>
      <c r="F47" s="223">
        <f t="shared" si="11"/>
        <v>1.042</v>
      </c>
      <c r="G47" s="215">
        <f t="shared" si="16"/>
        <v>10.475404728688773</v>
      </c>
      <c r="H47" s="224">
        <f t="shared" si="12"/>
        <v>5.8445297504798646</v>
      </c>
      <c r="I47" s="224">
        <f t="shared" si="17"/>
        <v>10.469993690352226</v>
      </c>
      <c r="J47" s="215">
        <f t="shared" si="13"/>
        <v>8.9421305182341921</v>
      </c>
      <c r="K47" s="215">
        <f t="shared" si="10"/>
        <v>9.4786583493282439</v>
      </c>
      <c r="L47" s="225">
        <f t="shared" si="14"/>
        <v>42.000000000000036</v>
      </c>
      <c r="M47" s="215">
        <f t="shared" si="18"/>
        <v>10.475626061736079</v>
      </c>
      <c r="N47" s="226">
        <f t="shared" si="15"/>
        <v>109.09733425347019</v>
      </c>
      <c r="O47" s="216">
        <f t="shared" si="19"/>
        <v>6.5505959890741137</v>
      </c>
      <c r="P47" s="216">
        <f t="shared" si="20"/>
        <v>7.4438590784933112</v>
      </c>
      <c r="Q47" s="233" t="s">
        <v>227</v>
      </c>
      <c r="R47" s="233" t="s">
        <v>227</v>
      </c>
      <c r="S47" s="234"/>
      <c r="T47" s="109"/>
      <c r="U47" s="109"/>
      <c r="V47" s="109"/>
      <c r="W47" s="109"/>
      <c r="X47" s="109"/>
      <c r="Y47" s="109"/>
      <c r="Z47" s="109"/>
      <c r="AA47" s="109"/>
      <c r="AB47" s="109"/>
      <c r="AC47" s="109"/>
      <c r="AD47" s="109"/>
      <c r="AE47" s="109"/>
      <c r="AF47" s="109"/>
      <c r="AG47" s="109"/>
      <c r="AH47" s="109"/>
      <c r="AI47" s="109"/>
      <c r="AJ47" s="109"/>
      <c r="AK47" s="109"/>
      <c r="AL47" s="109"/>
      <c r="AM47" s="109"/>
      <c r="AN47" s="109"/>
      <c r="AO47" s="109"/>
      <c r="AP47" s="109"/>
      <c r="AQ47" s="109"/>
      <c r="AR47" s="109"/>
      <c r="AS47" s="109"/>
    </row>
    <row r="48" spans="1:45" ht="22.15" customHeight="1">
      <c r="A48" s="219"/>
      <c r="B48" s="219"/>
      <c r="C48" s="450"/>
      <c r="D48" s="219"/>
      <c r="E48" s="220">
        <v>43</v>
      </c>
      <c r="F48" s="223">
        <f t="shared" si="11"/>
        <v>1.0429999999999999</v>
      </c>
      <c r="G48" s="215">
        <f t="shared" si="16"/>
        <v>10.715783326970723</v>
      </c>
      <c r="H48" s="224">
        <f t="shared" si="12"/>
        <v>5.9779482262703709</v>
      </c>
      <c r="I48" s="224">
        <f t="shared" si="17"/>
        <v>10.710389803778185</v>
      </c>
      <c r="J48" s="215">
        <f t="shared" si="13"/>
        <v>9.1462607861936682</v>
      </c>
      <c r="K48" s="215">
        <f t="shared" si="10"/>
        <v>9.6950364333652885</v>
      </c>
      <c r="L48" s="225">
        <f t="shared" si="14"/>
        <v>42.999999999999929</v>
      </c>
      <c r="M48" s="215">
        <f t="shared" si="18"/>
        <v>10.716056144479012</v>
      </c>
      <c r="N48" s="226">
        <f t="shared" si="15"/>
        <v>111.70936565340645</v>
      </c>
      <c r="O48" s="216">
        <f t="shared" si="19"/>
        <v>6.7074317406425701</v>
      </c>
      <c r="P48" s="216">
        <f t="shared" si="20"/>
        <v>7.6220815234574655</v>
      </c>
      <c r="Q48" s="109"/>
      <c r="R48" s="109"/>
      <c r="S48" s="109"/>
      <c r="T48" s="109"/>
      <c r="U48" s="109"/>
      <c r="V48" s="109"/>
      <c r="W48" s="109"/>
      <c r="X48" s="109"/>
      <c r="Y48" s="109"/>
      <c r="Z48" s="109"/>
      <c r="AA48" s="109"/>
      <c r="AB48" s="109"/>
      <c r="AC48" s="109"/>
      <c r="AD48" s="109"/>
      <c r="AE48" s="109"/>
      <c r="AF48" s="109"/>
      <c r="AG48" s="109"/>
      <c r="AH48" s="109"/>
      <c r="AI48" s="109"/>
      <c r="AJ48" s="109"/>
      <c r="AK48" s="109"/>
      <c r="AL48" s="109"/>
      <c r="AM48" s="109"/>
      <c r="AN48" s="109"/>
      <c r="AO48" s="109"/>
      <c r="AP48" s="109"/>
      <c r="AQ48" s="109"/>
      <c r="AR48" s="109"/>
      <c r="AS48" s="109"/>
    </row>
    <row r="49" spans="1:45" ht="22.15" customHeight="1">
      <c r="A49" s="219"/>
      <c r="B49" s="219"/>
      <c r="C49" s="450"/>
      <c r="D49" s="219"/>
      <c r="E49" s="220">
        <v>44</v>
      </c>
      <c r="F49" s="223">
        <f t="shared" si="11"/>
        <v>1.044</v>
      </c>
      <c r="G49" s="215">
        <f t="shared" si="16"/>
        <v>10.955752396358321</v>
      </c>
      <c r="H49" s="224">
        <f t="shared" si="12"/>
        <v>6.1111111111111143</v>
      </c>
      <c r="I49" s="224">
        <f t="shared" si="17"/>
        <v>10.950385060736266</v>
      </c>
      <c r="J49" s="215">
        <f t="shared" si="13"/>
        <v>9.350000000000005</v>
      </c>
      <c r="K49" s="215">
        <f t="shared" si="10"/>
        <v>9.9110000000000049</v>
      </c>
      <c r="L49" s="225">
        <f t="shared" si="14"/>
        <v>44.000000000000043</v>
      </c>
      <c r="M49" s="215">
        <f t="shared" si="18"/>
        <v>10.956076752447984</v>
      </c>
      <c r="N49" s="226">
        <f t="shared" si="15"/>
        <v>114.32202003408662</v>
      </c>
      <c r="O49" s="216">
        <f t="shared" si="19"/>
        <v>6.8643048982135682</v>
      </c>
      <c r="P49" s="216">
        <f t="shared" si="20"/>
        <v>7.8003464752426908</v>
      </c>
      <c r="Q49" s="109"/>
      <c r="R49" s="109"/>
      <c r="S49" s="109"/>
      <c r="T49" s="109"/>
      <c r="U49" s="109"/>
      <c r="V49" s="109"/>
      <c r="W49" s="109"/>
      <c r="X49" s="109"/>
      <c r="Y49" s="109"/>
      <c r="Z49" s="109"/>
      <c r="AA49" s="109"/>
      <c r="AB49" s="109"/>
      <c r="AC49" s="109"/>
      <c r="AD49" s="109"/>
      <c r="AE49" s="109"/>
      <c r="AF49" s="109"/>
      <c r="AG49" s="109"/>
      <c r="AH49" s="109"/>
      <c r="AI49" s="109"/>
      <c r="AJ49" s="109"/>
      <c r="AK49" s="109"/>
      <c r="AL49" s="109"/>
      <c r="AM49" s="109"/>
      <c r="AN49" s="109"/>
      <c r="AO49" s="109"/>
      <c r="AP49" s="109"/>
      <c r="AQ49" s="109"/>
      <c r="AR49" s="109"/>
      <c r="AS49" s="109"/>
    </row>
    <row r="50" spans="1:45" ht="22.15" customHeight="1">
      <c r="A50" s="219"/>
      <c r="B50" s="219"/>
      <c r="C50" s="450"/>
      <c r="D50" s="219"/>
      <c r="E50" s="220">
        <v>45</v>
      </c>
      <c r="F50" s="223">
        <f t="shared" si="11"/>
        <v>1.0449999999999999</v>
      </c>
      <c r="G50" s="215">
        <f t="shared" si="16"/>
        <v>11.1953130316125</v>
      </c>
      <c r="H50" s="224">
        <f t="shared" si="12"/>
        <v>6.2440191387559594</v>
      </c>
      <c r="I50" s="224">
        <f t="shared" si="17"/>
        <v>11.18998032075001</v>
      </c>
      <c r="J50" s="215">
        <f t="shared" si="13"/>
        <v>9.5533492822966188</v>
      </c>
      <c r="K50" s="215">
        <f t="shared" si="10"/>
        <v>10.126550239234417</v>
      </c>
      <c r="L50" s="225">
        <f t="shared" si="14"/>
        <v>44.999999999999929</v>
      </c>
      <c r="M50" s="215">
        <f t="shared" si="18"/>
        <v>11.195688701625045</v>
      </c>
      <c r="N50" s="226">
        <f t="shared" si="15"/>
        <v>116.9352943518376</v>
      </c>
      <c r="O50" s="216">
        <f t="shared" si="19"/>
        <v>7.0212152790340374</v>
      </c>
      <c r="P50" s="216">
        <f t="shared" si="20"/>
        <v>7.9786537261750423</v>
      </c>
      <c r="Q50" s="109"/>
      <c r="R50" s="109"/>
      <c r="S50" s="109"/>
      <c r="T50" s="109"/>
      <c r="U50" s="109"/>
      <c r="V50" s="109"/>
      <c r="W50" s="109"/>
      <c r="X50" s="109"/>
      <c r="Y50" s="109"/>
      <c r="Z50" s="109"/>
      <c r="AA50" s="109"/>
      <c r="AB50" s="109"/>
      <c r="AC50" s="109"/>
      <c r="AD50" s="109"/>
      <c r="AE50" s="109"/>
      <c r="AF50" s="109"/>
      <c r="AG50" s="109"/>
      <c r="AH50" s="109"/>
      <c r="AI50" s="109"/>
      <c r="AJ50" s="109"/>
      <c r="AK50" s="109"/>
      <c r="AL50" s="109"/>
      <c r="AM50" s="109"/>
      <c r="AN50" s="109"/>
      <c r="AO50" s="109"/>
      <c r="AP50" s="109"/>
      <c r="AQ50" s="109"/>
      <c r="AR50" s="109"/>
      <c r="AS50" s="109"/>
    </row>
    <row r="51" spans="1:45" ht="22.15" customHeight="1">
      <c r="A51" s="219"/>
      <c r="B51" s="219"/>
      <c r="C51" s="450"/>
      <c r="D51" s="219"/>
      <c r="E51" s="220">
        <v>46</v>
      </c>
      <c r="F51" s="223">
        <f t="shared" si="11"/>
        <v>1.046</v>
      </c>
      <c r="G51" s="215">
        <f t="shared" si="16"/>
        <v>11.43446632749351</v>
      </c>
      <c r="H51" s="224">
        <f t="shared" si="12"/>
        <v>6.3766730401529799</v>
      </c>
      <c r="I51" s="224">
        <f t="shared" si="17"/>
        <v>11.429176443343977</v>
      </c>
      <c r="J51" s="215">
        <f t="shared" si="13"/>
        <v>9.7563097514340598</v>
      </c>
      <c r="K51" s="215">
        <f t="shared" si="10"/>
        <v>10.341688336520104</v>
      </c>
      <c r="L51" s="225">
        <f t="shared" si="14"/>
        <v>46.000000000000043</v>
      </c>
      <c r="M51" s="215">
        <f t="shared" si="18"/>
        <v>11.434892807992128</v>
      </c>
      <c r="N51" s="226">
        <f t="shared" si="15"/>
        <v>119.549185597378</v>
      </c>
      <c r="O51" s="216">
        <f t="shared" si="19"/>
        <v>7.178162702415908</v>
      </c>
      <c r="P51" s="216">
        <f t="shared" si="20"/>
        <v>8.1570030709271677</v>
      </c>
      <c r="Q51" s="109"/>
      <c r="R51" s="109"/>
      <c r="S51" s="109"/>
      <c r="T51" s="109"/>
      <c r="U51" s="109"/>
      <c r="V51" s="109"/>
      <c r="W51" s="109"/>
      <c r="X51" s="109"/>
      <c r="Y51" s="109"/>
      <c r="Z51" s="109"/>
      <c r="AA51" s="109"/>
      <c r="AB51" s="109"/>
      <c r="AC51" s="109"/>
      <c r="AD51" s="109"/>
      <c r="AE51" s="109"/>
      <c r="AF51" s="109"/>
      <c r="AG51" s="109"/>
      <c r="AH51" s="109"/>
      <c r="AI51" s="109"/>
      <c r="AJ51" s="109"/>
      <c r="AK51" s="109"/>
      <c r="AL51" s="109"/>
      <c r="AM51" s="109"/>
      <c r="AN51" s="109"/>
      <c r="AO51" s="109"/>
      <c r="AP51" s="109"/>
      <c r="AQ51" s="109"/>
      <c r="AR51" s="109"/>
      <c r="AS51" s="109"/>
    </row>
    <row r="52" spans="1:45" ht="22.15" customHeight="1">
      <c r="A52" s="219"/>
      <c r="B52" s="219"/>
      <c r="C52" s="450"/>
      <c r="D52" s="219"/>
      <c r="E52" s="220">
        <v>47</v>
      </c>
      <c r="F52" s="223">
        <f t="shared" si="11"/>
        <v>1.0469999999999999</v>
      </c>
      <c r="G52" s="215">
        <f t="shared" si="16"/>
        <v>11.673213378762171</v>
      </c>
      <c r="H52" s="224">
        <f t="shared" si="12"/>
        <v>6.5090735434574754</v>
      </c>
      <c r="I52" s="224">
        <f t="shared" si="17"/>
        <v>11.667974288042046</v>
      </c>
      <c r="J52" s="215">
        <f t="shared" si="13"/>
        <v>9.9588825214899366</v>
      </c>
      <c r="K52" s="215">
        <f t="shared" si="10"/>
        <v>10.556415472779333</v>
      </c>
      <c r="L52" s="225">
        <f t="shared" si="14"/>
        <v>46.999999999999929</v>
      </c>
      <c r="M52" s="215">
        <f t="shared" si="18"/>
        <v>11.673689887530941</v>
      </c>
      <c r="N52" s="226">
        <f t="shared" si="15"/>
        <v>122.16369079580022</v>
      </c>
      <c r="O52" s="216">
        <f t="shared" si="19"/>
        <v>7.3351469897350379</v>
      </c>
      <c r="P52" s="216">
        <f t="shared" si="20"/>
        <v>8.3353943065170881</v>
      </c>
      <c r="Q52" s="109"/>
      <c r="R52" s="109"/>
      <c r="S52" s="109"/>
      <c r="T52" s="109"/>
      <c r="U52" s="109"/>
      <c r="V52" s="109"/>
      <c r="W52" s="109"/>
      <c r="X52" s="109"/>
      <c r="Y52" s="109"/>
      <c r="Z52" s="109"/>
      <c r="AA52" s="109"/>
      <c r="AB52" s="109"/>
      <c r="AC52" s="109"/>
      <c r="AD52" s="109"/>
      <c r="AE52" s="109"/>
      <c r="AF52" s="109"/>
      <c r="AG52" s="109"/>
      <c r="AH52" s="109"/>
      <c r="AI52" s="109"/>
      <c r="AJ52" s="109"/>
      <c r="AK52" s="109"/>
      <c r="AL52" s="109"/>
      <c r="AM52" s="109"/>
      <c r="AN52" s="109"/>
      <c r="AO52" s="109"/>
      <c r="AP52" s="109"/>
      <c r="AQ52" s="109"/>
      <c r="AR52" s="109"/>
      <c r="AS52" s="109"/>
    </row>
    <row r="53" spans="1:45" ht="22.15" customHeight="1">
      <c r="A53" s="219"/>
      <c r="B53" s="219"/>
      <c r="C53" s="450"/>
      <c r="D53" s="219"/>
      <c r="E53" s="220">
        <v>48</v>
      </c>
      <c r="F53" s="223">
        <f t="shared" si="11"/>
        <v>1.048</v>
      </c>
      <c r="G53" s="215">
        <f t="shared" si="16"/>
        <v>11.911555280179186</v>
      </c>
      <c r="H53" s="224">
        <f t="shared" si="12"/>
        <v>6.6412213740458128</v>
      </c>
      <c r="I53" s="224">
        <f t="shared" si="17"/>
        <v>11.906374714368098</v>
      </c>
      <c r="J53" s="215">
        <f t="shared" si="13"/>
        <v>10.161068702290093</v>
      </c>
      <c r="K53" s="215">
        <f t="shared" si="10"/>
        <v>10.770732824427499</v>
      </c>
      <c r="L53" s="225">
        <f t="shared" si="14"/>
        <v>48.000000000000043</v>
      </c>
      <c r="M53" s="215">
        <f t="shared" si="18"/>
        <v>11.9120807562241</v>
      </c>
      <c r="N53" s="226">
        <f t="shared" si="15"/>
        <v>124.77880700657768</v>
      </c>
      <c r="O53" s="216">
        <f t="shared" si="19"/>
        <v>7.4921679644316459</v>
      </c>
      <c r="P53" s="216">
        <f t="shared" si="20"/>
        <v>8.5138272323086888</v>
      </c>
      <c r="Q53" s="109"/>
      <c r="R53" s="109"/>
      <c r="S53" s="109"/>
      <c r="T53" s="109"/>
      <c r="U53" s="109"/>
      <c r="V53" s="109"/>
      <c r="W53" s="109"/>
      <c r="X53" s="109"/>
      <c r="Y53" s="109"/>
      <c r="Z53" s="109"/>
      <c r="AA53" s="109"/>
      <c r="AB53" s="109"/>
      <c r="AC53" s="109"/>
      <c r="AD53" s="109"/>
      <c r="AE53" s="109"/>
      <c r="AF53" s="109"/>
      <c r="AG53" s="109"/>
      <c r="AH53" s="109"/>
      <c r="AI53" s="109"/>
      <c r="AJ53" s="109"/>
      <c r="AK53" s="109"/>
      <c r="AL53" s="109"/>
      <c r="AM53" s="109"/>
      <c r="AN53" s="109"/>
      <c r="AO53" s="109"/>
      <c r="AP53" s="109"/>
      <c r="AQ53" s="109"/>
      <c r="AR53" s="109"/>
      <c r="AS53" s="109"/>
    </row>
    <row r="54" spans="1:45" ht="22.15" customHeight="1">
      <c r="A54" s="219"/>
      <c r="B54" s="219"/>
      <c r="C54" s="450"/>
      <c r="D54" s="219"/>
      <c r="E54" s="220">
        <v>49</v>
      </c>
      <c r="F54" s="223">
        <f t="shared" si="11"/>
        <v>1.0489999999999999</v>
      </c>
      <c r="G54" s="215">
        <f t="shared" si="16"/>
        <v>12.149493126504808</v>
      </c>
      <c r="H54" s="224">
        <f t="shared" si="12"/>
        <v>6.7731172545281026</v>
      </c>
      <c r="I54" s="224">
        <f t="shared" si="17"/>
        <v>12.144378581846013</v>
      </c>
      <c r="J54" s="215">
        <f t="shared" si="13"/>
        <v>10.362869399427998</v>
      </c>
      <c r="K54" s="215">
        <f t="shared" si="10"/>
        <v>10.984641563393678</v>
      </c>
      <c r="L54" s="225">
        <f t="shared" si="14"/>
        <v>48.999999999999929</v>
      </c>
      <c r="M54" s="215">
        <f t="shared" si="18"/>
        <v>12.150066230052971</v>
      </c>
      <c r="N54" s="226">
        <f t="shared" si="15"/>
        <v>127.39453132356466</v>
      </c>
      <c r="O54" s="216">
        <f t="shared" si="19"/>
        <v>7.6492254520102989</v>
      </c>
      <c r="P54" s="216">
        <f t="shared" si="20"/>
        <v>8.6923016500117036</v>
      </c>
      <c r="Q54" s="109"/>
      <c r="R54" s="109"/>
      <c r="S54" s="109"/>
      <c r="T54" s="109"/>
      <c r="U54" s="109"/>
      <c r="V54" s="109"/>
      <c r="W54" s="109"/>
      <c r="X54" s="109"/>
      <c r="Y54" s="109"/>
      <c r="Z54" s="109"/>
      <c r="AA54" s="109"/>
      <c r="AB54" s="109"/>
      <c r="AC54" s="109"/>
      <c r="AD54" s="109"/>
      <c r="AE54" s="109"/>
      <c r="AF54" s="109"/>
      <c r="AG54" s="109"/>
      <c r="AH54" s="109"/>
      <c r="AI54" s="109"/>
      <c r="AJ54" s="109"/>
      <c r="AK54" s="109"/>
      <c r="AL54" s="109"/>
      <c r="AM54" s="109"/>
      <c r="AN54" s="109"/>
      <c r="AO54" s="109"/>
      <c r="AP54" s="109"/>
      <c r="AQ54" s="109"/>
      <c r="AR54" s="109"/>
      <c r="AS54" s="109"/>
    </row>
    <row r="55" spans="1:45" ht="22.15" customHeight="1">
      <c r="A55" s="219"/>
      <c r="B55" s="219"/>
      <c r="C55" s="450"/>
      <c r="D55" s="219"/>
      <c r="E55" s="220">
        <v>50</v>
      </c>
      <c r="F55" s="223">
        <f t="shared" si="11"/>
        <v>1.05</v>
      </c>
      <c r="G55" s="215">
        <f t="shared" si="16"/>
        <v>12.387028012500082</v>
      </c>
      <c r="H55" s="224">
        <f t="shared" si="12"/>
        <v>6.904761904761898</v>
      </c>
      <c r="I55" s="224">
        <f t="shared" si="17"/>
        <v>12.38198675000001</v>
      </c>
      <c r="J55" s="215">
        <f t="shared" si="13"/>
        <v>10.564285714285704</v>
      </c>
      <c r="K55" s="215">
        <f t="shared" si="10"/>
        <v>11.198142857142846</v>
      </c>
      <c r="L55" s="225">
        <f t="shared" si="14"/>
        <v>50.000000000000043</v>
      </c>
      <c r="M55" s="215">
        <f t="shared" si="18"/>
        <v>12.387647125000058</v>
      </c>
      <c r="N55" s="226">
        <f t="shared" si="15"/>
        <v>130.01086087500011</v>
      </c>
      <c r="O55" s="216">
        <f t="shared" si="19"/>
        <v>7.8063192800401433</v>
      </c>
      <c r="P55" s="216">
        <f t="shared" si="20"/>
        <v>8.8708173636819811</v>
      </c>
      <c r="Q55" s="109"/>
      <c r="R55" s="109"/>
      <c r="S55" s="109"/>
      <c r="T55" s="109"/>
      <c r="U55" s="109"/>
      <c r="V55" s="109"/>
      <c r="W55" s="109"/>
      <c r="X55" s="109"/>
      <c r="Y55" s="109"/>
      <c r="Z55" s="109"/>
      <c r="AA55" s="109"/>
      <c r="AB55" s="109"/>
      <c r="AC55" s="109"/>
      <c r="AD55" s="109"/>
      <c r="AE55" s="109"/>
      <c r="AF55" s="109"/>
      <c r="AG55" s="109"/>
      <c r="AH55" s="109"/>
      <c r="AI55" s="109"/>
      <c r="AJ55" s="109"/>
      <c r="AK55" s="109"/>
      <c r="AL55" s="109"/>
      <c r="AM55" s="109"/>
      <c r="AN55" s="109"/>
      <c r="AO55" s="109"/>
      <c r="AP55" s="109"/>
      <c r="AQ55" s="109"/>
      <c r="AR55" s="109"/>
      <c r="AS55" s="109"/>
    </row>
    <row r="56" spans="1:45" ht="22.15" customHeight="1">
      <c r="A56" s="219"/>
      <c r="B56" s="219"/>
      <c r="C56" s="450"/>
      <c r="D56" s="219"/>
      <c r="E56" s="220">
        <v>51</v>
      </c>
      <c r="F56" s="223">
        <f t="shared" si="11"/>
        <v>1.0509999999999999</v>
      </c>
      <c r="G56" s="215">
        <f t="shared" si="16"/>
        <v>12.624161032925031</v>
      </c>
      <c r="H56" s="224">
        <f t="shared" si="12"/>
        <v>7.0361560418648708</v>
      </c>
      <c r="I56" s="224">
        <f t="shared" si="17"/>
        <v>12.61920007835397</v>
      </c>
      <c r="J56" s="215">
        <f t="shared" si="13"/>
        <v>10.765318744053252</v>
      </c>
      <c r="K56" s="215">
        <f t="shared" si="10"/>
        <v>11.411237868696448</v>
      </c>
      <c r="L56" s="225">
        <f t="shared" si="14"/>
        <v>50.999999999999936</v>
      </c>
      <c r="M56" s="215">
        <f t="shared" si="18"/>
        <v>12.624824257046953</v>
      </c>
      <c r="N56" s="226">
        <f t="shared" si="15"/>
        <v>132.62779282350022</v>
      </c>
      <c r="O56" s="216">
        <f t="shared" si="19"/>
        <v>7.9634492781544592</v>
      </c>
      <c r="P56" s="216">
        <f t="shared" si="20"/>
        <v>9.0493741797209761</v>
      </c>
      <c r="Q56" s="109"/>
      <c r="R56" s="109"/>
      <c r="S56" s="109"/>
      <c r="T56" s="109"/>
      <c r="U56" s="109"/>
      <c r="V56" s="109"/>
      <c r="W56" s="109"/>
      <c r="X56" s="109"/>
      <c r="Y56" s="109"/>
      <c r="Z56" s="109"/>
      <c r="AA56" s="109"/>
      <c r="AB56" s="109"/>
      <c r="AC56" s="109"/>
      <c r="AD56" s="109"/>
      <c r="AE56" s="109"/>
      <c r="AF56" s="109"/>
      <c r="AG56" s="109"/>
      <c r="AH56" s="109"/>
      <c r="AI56" s="109"/>
      <c r="AJ56" s="109"/>
      <c r="AK56" s="109"/>
      <c r="AL56" s="109"/>
      <c r="AM56" s="109"/>
      <c r="AN56" s="109"/>
      <c r="AO56" s="109"/>
      <c r="AP56" s="109"/>
      <c r="AQ56" s="109"/>
      <c r="AR56" s="109"/>
      <c r="AS56" s="109"/>
    </row>
    <row r="57" spans="1:45" ht="22.15" customHeight="1">
      <c r="A57" s="219"/>
      <c r="B57" s="219"/>
      <c r="C57" s="450"/>
      <c r="D57" s="219"/>
      <c r="E57" s="220">
        <v>52</v>
      </c>
      <c r="F57" s="223">
        <f t="shared" si="11"/>
        <v>1.052</v>
      </c>
      <c r="G57" s="215">
        <f t="shared" si="16"/>
        <v>12.860893282540815</v>
      </c>
      <c r="H57" s="224">
        <f t="shared" si="12"/>
        <v>7.1673003802281414</v>
      </c>
      <c r="I57" s="224">
        <f t="shared" si="17"/>
        <v>12.856019426431999</v>
      </c>
      <c r="J57" s="215">
        <f t="shared" si="13"/>
        <v>10.965969581749057</v>
      </c>
      <c r="K57" s="215">
        <f t="shared" si="10"/>
        <v>11.623927756654002</v>
      </c>
      <c r="L57" s="225">
        <f t="shared" si="14"/>
        <v>52.000000000000043</v>
      </c>
      <c r="M57" s="215">
        <f t="shared" si="18"/>
        <v>12.861598442175932</v>
      </c>
      <c r="N57" s="226">
        <f t="shared" si="15"/>
        <v>135.24532436606464</v>
      </c>
      <c r="O57" s="216">
        <f t="shared" si="19"/>
        <v>8.1206152780510354</v>
      </c>
      <c r="P57" s="216">
        <f t="shared" si="20"/>
        <v>9.2279719068761761</v>
      </c>
      <c r="Q57" s="109"/>
      <c r="R57" s="109"/>
      <c r="S57" s="109"/>
      <c r="T57" s="109"/>
      <c r="U57" s="109"/>
      <c r="V57" s="109"/>
      <c r="W57" s="109"/>
      <c r="X57" s="109"/>
      <c r="Y57" s="109"/>
      <c r="Z57" s="109"/>
      <c r="AA57" s="109"/>
      <c r="AB57" s="109"/>
      <c r="AC57" s="109"/>
      <c r="AD57" s="109"/>
      <c r="AE57" s="109"/>
      <c r="AF57" s="109"/>
      <c r="AG57" s="109"/>
      <c r="AH57" s="109"/>
      <c r="AI57" s="109"/>
      <c r="AJ57" s="109"/>
      <c r="AK57" s="109"/>
      <c r="AL57" s="109"/>
      <c r="AM57" s="109"/>
      <c r="AN57" s="109"/>
      <c r="AO57" s="109"/>
      <c r="AP57" s="109"/>
      <c r="AQ57" s="109"/>
      <c r="AR57" s="109"/>
      <c r="AS57" s="109"/>
    </row>
    <row r="58" spans="1:45" ht="22.15" customHeight="1">
      <c r="A58" s="219"/>
      <c r="B58" s="219"/>
      <c r="C58" s="450"/>
      <c r="D58" s="219"/>
      <c r="E58" s="220">
        <v>53</v>
      </c>
      <c r="F58" s="223">
        <f t="shared" si="11"/>
        <v>1.0529999999999999</v>
      </c>
      <c r="G58" s="215">
        <f t="shared" si="16"/>
        <v>13.097225856107684</v>
      </c>
      <c r="H58" s="224">
        <f t="shared" si="12"/>
        <v>7.2981956315289551</v>
      </c>
      <c r="I58" s="224">
        <f t="shared" si="17"/>
        <v>13.092445653758091</v>
      </c>
      <c r="J58" s="215">
        <f t="shared" si="13"/>
        <v>11.166239316239302</v>
      </c>
      <c r="K58" s="215">
        <f t="shared" si="10"/>
        <v>11.836213675213662</v>
      </c>
      <c r="L58" s="225">
        <f t="shared" si="14"/>
        <v>52.999999999999936</v>
      </c>
      <c r="M58" s="215">
        <f t="shared" si="18"/>
        <v>13.097970496369044</v>
      </c>
      <c r="N58" s="226">
        <f t="shared" si="15"/>
        <v>137.86345273407269</v>
      </c>
      <c r="O58" s="216">
        <f t="shared" si="19"/>
        <v>8.2778171134919329</v>
      </c>
      <c r="P58" s="216">
        <f t="shared" si="20"/>
        <v>9.406610356240833</v>
      </c>
      <c r="Q58" s="109"/>
      <c r="R58" s="109"/>
      <c r="S58" s="109"/>
      <c r="T58" s="109"/>
      <c r="U58" s="109"/>
      <c r="V58" s="109"/>
      <c r="W58" s="109"/>
      <c r="X58" s="109"/>
      <c r="Y58" s="109"/>
      <c r="Z58" s="109"/>
      <c r="AA58" s="109"/>
      <c r="AB58" s="109"/>
      <c r="AC58" s="109"/>
      <c r="AD58" s="109"/>
      <c r="AE58" s="109"/>
      <c r="AF58" s="109"/>
      <c r="AG58" s="109"/>
      <c r="AH58" s="109"/>
      <c r="AI58" s="109"/>
      <c r="AJ58" s="109"/>
      <c r="AK58" s="109"/>
      <c r="AL58" s="109"/>
      <c r="AM58" s="109"/>
      <c r="AN58" s="109"/>
      <c r="AO58" s="109"/>
      <c r="AP58" s="109"/>
      <c r="AQ58" s="109"/>
      <c r="AR58" s="109"/>
      <c r="AS58" s="109"/>
    </row>
    <row r="59" spans="1:45" ht="22.15" customHeight="1">
      <c r="A59" s="219"/>
      <c r="B59" s="219"/>
      <c r="C59" s="450"/>
      <c r="D59" s="219"/>
      <c r="E59" s="220">
        <v>54</v>
      </c>
      <c r="F59" s="223">
        <f t="shared" si="11"/>
        <v>1.054</v>
      </c>
      <c r="G59" s="215">
        <f t="shared" si="16"/>
        <v>13.333159848386344</v>
      </c>
      <c r="H59" s="224">
        <f t="shared" si="12"/>
        <v>7.4288425047438409</v>
      </c>
      <c r="I59" s="224">
        <f t="shared" si="17"/>
        <v>13.328479619856125</v>
      </c>
      <c r="J59" s="215">
        <f t="shared" si="13"/>
        <v>11.366129032258076</v>
      </c>
      <c r="K59" s="215">
        <f t="shared" si="10"/>
        <v>12.048096774193562</v>
      </c>
      <c r="L59" s="225">
        <f t="shared" si="14"/>
        <v>54.00000000000005</v>
      </c>
      <c r="M59" s="215">
        <f t="shared" si="18"/>
        <v>13.333941235607995</v>
      </c>
      <c r="N59" s="226">
        <f t="shared" si="15"/>
        <v>140.48217519328358</v>
      </c>
      <c r="O59" s="216">
        <f t="shared" si="19"/>
        <v>8.4350546203035126</v>
      </c>
      <c r="P59" s="216">
        <f t="shared" si="20"/>
        <v>9.5852893412539917</v>
      </c>
      <c r="Q59" s="109"/>
      <c r="R59" s="109"/>
      <c r="S59" s="109"/>
      <c r="T59" s="109"/>
      <c r="U59" s="109"/>
      <c r="V59" s="109"/>
      <c r="W59" s="109"/>
      <c r="X59" s="109"/>
      <c r="Y59" s="109"/>
      <c r="Z59" s="109"/>
      <c r="AA59" s="109"/>
      <c r="AB59" s="109"/>
      <c r="AC59" s="109"/>
      <c r="AD59" s="109"/>
      <c r="AE59" s="109"/>
      <c r="AF59" s="109"/>
      <c r="AG59" s="109"/>
      <c r="AH59" s="109"/>
      <c r="AI59" s="109"/>
      <c r="AJ59" s="109"/>
      <c r="AK59" s="109"/>
      <c r="AL59" s="109"/>
      <c r="AM59" s="109"/>
      <c r="AN59" s="109"/>
      <c r="AO59" s="109"/>
      <c r="AP59" s="109"/>
      <c r="AQ59" s="109"/>
      <c r="AR59" s="109"/>
      <c r="AS59" s="109"/>
    </row>
    <row r="60" spans="1:45" ht="22.15" customHeight="1">
      <c r="A60" s="219"/>
      <c r="B60" s="219"/>
      <c r="C60" s="450"/>
      <c r="D60" s="219"/>
      <c r="E60" s="220">
        <v>55</v>
      </c>
      <c r="F60" s="223">
        <f t="shared" si="11"/>
        <v>1.0549999999999999</v>
      </c>
      <c r="G60" s="215">
        <f t="shared" si="16"/>
        <v>13.568696354137501</v>
      </c>
      <c r="H60" s="224">
        <f t="shared" si="12"/>
        <v>7.5592417061611172</v>
      </c>
      <c r="I60" s="224">
        <f t="shared" si="17"/>
        <v>13.564122184250095</v>
      </c>
      <c r="J60" s="215">
        <f t="shared" si="13"/>
        <v>11.565639810426509</v>
      </c>
      <c r="K60" s="215">
        <f t="shared" si="10"/>
        <v>12.2595781990521</v>
      </c>
      <c r="L60" s="225">
        <f t="shared" si="14"/>
        <v>54.999999999999936</v>
      </c>
      <c r="M60" s="215">
        <f t="shared" si="18"/>
        <v>13.569511475875061</v>
      </c>
      <c r="N60" s="226">
        <f t="shared" si="15"/>
        <v>143.10148904383851</v>
      </c>
      <c r="O60" s="216">
        <f t="shared" si="19"/>
        <v>8.5923276363765506</v>
      </c>
      <c r="P60" s="216">
        <f t="shared" si="20"/>
        <v>9.764008677700625</v>
      </c>
      <c r="Q60" s="109"/>
      <c r="R60" s="109"/>
      <c r="S60" s="109"/>
      <c r="T60" s="109"/>
      <c r="U60" s="109"/>
      <c r="V60" s="109"/>
      <c r="W60" s="109"/>
      <c r="X60" s="109"/>
      <c r="Y60" s="109"/>
      <c r="Z60" s="109"/>
      <c r="AA60" s="109"/>
      <c r="AB60" s="109"/>
      <c r="AC60" s="109"/>
      <c r="AD60" s="109"/>
      <c r="AE60" s="109"/>
      <c r="AF60" s="109"/>
      <c r="AG60" s="109"/>
      <c r="AH60" s="109"/>
      <c r="AI60" s="109"/>
      <c r="AJ60" s="109"/>
      <c r="AK60" s="109"/>
      <c r="AL60" s="109"/>
      <c r="AM60" s="109"/>
      <c r="AN60" s="109"/>
      <c r="AO60" s="109"/>
      <c r="AP60" s="109"/>
      <c r="AQ60" s="109"/>
      <c r="AR60" s="109"/>
      <c r="AS60" s="109"/>
    </row>
    <row r="61" spans="1:45" ht="22.15" customHeight="1">
      <c r="A61" s="219"/>
      <c r="B61" s="219"/>
      <c r="C61" s="451"/>
      <c r="D61" s="219"/>
      <c r="E61" s="220">
        <v>56</v>
      </c>
      <c r="F61" s="223">
        <f t="shared" si="11"/>
        <v>1.056</v>
      </c>
      <c r="G61" s="215">
        <f t="shared" si="16"/>
        <v>13.803836468121631</v>
      </c>
      <c r="H61" s="224">
        <f t="shared" si="12"/>
        <v>7.6893939393939377</v>
      </c>
      <c r="I61" s="224">
        <f t="shared" si="17"/>
        <v>13.799374206464222</v>
      </c>
      <c r="J61" s="215">
        <f t="shared" si="13"/>
        <v>11.764772727272724</v>
      </c>
      <c r="K61" s="215">
        <f t="shared" si="10"/>
        <v>12.470659090909088</v>
      </c>
      <c r="L61" s="225">
        <f t="shared" si="14"/>
        <v>56.00000000000005</v>
      </c>
      <c r="M61" s="215">
        <f t="shared" si="18"/>
        <v>13.804682033152062</v>
      </c>
      <c r="N61" s="226">
        <f t="shared" si="15"/>
        <v>145.72139162026218</v>
      </c>
      <c r="O61" s="216">
        <f t="shared" si="19"/>
        <v>8.7496360016663264</v>
      </c>
      <c r="P61" s="216">
        <f t="shared" si="20"/>
        <v>9.9427681837117348</v>
      </c>
      <c r="Q61" s="109"/>
      <c r="R61" s="109"/>
      <c r="S61" s="109"/>
      <c r="T61" s="109"/>
      <c r="U61" s="109"/>
      <c r="V61" s="109"/>
      <c r="W61" s="109"/>
      <c r="X61" s="109"/>
      <c r="Y61" s="109"/>
      <c r="Z61" s="109"/>
      <c r="AA61" s="109"/>
      <c r="AB61" s="109"/>
      <c r="AC61" s="109"/>
      <c r="AD61" s="109"/>
      <c r="AE61" s="109"/>
      <c r="AF61" s="109"/>
      <c r="AG61" s="109"/>
      <c r="AH61" s="109"/>
      <c r="AI61" s="109"/>
      <c r="AJ61" s="109"/>
      <c r="AK61" s="109"/>
      <c r="AL61" s="109"/>
      <c r="AM61" s="109"/>
      <c r="AN61" s="109"/>
      <c r="AO61" s="109"/>
      <c r="AP61" s="109"/>
      <c r="AQ61" s="109"/>
      <c r="AR61" s="109"/>
      <c r="AS61" s="109"/>
    </row>
    <row r="62" spans="1:45" ht="22.15" customHeight="1">
      <c r="A62" s="219"/>
      <c r="B62" s="219"/>
      <c r="C62" s="452" t="s">
        <v>319</v>
      </c>
      <c r="D62" s="219"/>
      <c r="E62" s="238">
        <v>57</v>
      </c>
      <c r="F62" s="239">
        <f t="shared" si="11"/>
        <v>1.0569999999999999</v>
      </c>
      <c r="G62" s="240">
        <f t="shared" si="16"/>
        <v>14.038581285099212</v>
      </c>
      <c r="H62" s="241">
        <f t="shared" si="12"/>
        <v>7.8192999053926258</v>
      </c>
      <c r="I62" s="241">
        <f t="shared" si="17"/>
        <v>14.034236546022157</v>
      </c>
      <c r="J62" s="240">
        <f t="shared" si="13"/>
        <v>11.963528855250718</v>
      </c>
      <c r="K62" s="240">
        <f t="shared" si="10"/>
        <v>12.681340586565762</v>
      </c>
      <c r="L62" s="242">
        <f t="shared" si="14"/>
        <v>56.999999999999943</v>
      </c>
      <c r="M62" s="240">
        <f t="shared" si="18"/>
        <v>14.039453723420934</v>
      </c>
      <c r="N62" s="243">
        <f t="shared" si="15"/>
        <v>148.3418802914542</v>
      </c>
      <c r="O62" s="244">
        <f t="shared" si="19"/>
        <v>8.9069795581921216</v>
      </c>
      <c r="P62" s="244">
        <f t="shared" si="20"/>
        <v>10.121567679763775</v>
      </c>
      <c r="Q62" s="109"/>
      <c r="R62" s="109"/>
      <c r="S62" s="109"/>
      <c r="T62" s="109"/>
      <c r="U62" s="109"/>
      <c r="V62" s="109"/>
      <c r="W62" s="109"/>
      <c r="X62" s="109"/>
      <c r="Y62" s="109"/>
      <c r="Z62" s="109"/>
      <c r="AA62" s="109"/>
      <c r="AB62" s="109"/>
      <c r="AC62" s="109"/>
      <c r="AD62" s="109"/>
      <c r="AE62" s="109"/>
      <c r="AF62" s="109"/>
      <c r="AG62" s="109"/>
      <c r="AH62" s="109"/>
      <c r="AI62" s="109"/>
      <c r="AJ62" s="109"/>
      <c r="AK62" s="109"/>
      <c r="AL62" s="109"/>
      <c r="AM62" s="109"/>
      <c r="AN62" s="109"/>
      <c r="AO62" s="109"/>
      <c r="AP62" s="109"/>
      <c r="AQ62" s="109"/>
      <c r="AR62" s="109"/>
      <c r="AS62" s="109"/>
    </row>
    <row r="63" spans="1:45" ht="22.15" customHeight="1">
      <c r="A63" s="219"/>
      <c r="B63" s="219"/>
      <c r="C63" s="453"/>
      <c r="D63" s="219"/>
      <c r="E63" s="238">
        <v>58</v>
      </c>
      <c r="F63" s="239">
        <f t="shared" si="11"/>
        <v>1.0580000000000001</v>
      </c>
      <c r="G63" s="240">
        <f t="shared" si="16"/>
        <v>14.272931899831178</v>
      </c>
      <c r="H63" s="241">
        <f t="shared" si="12"/>
        <v>7.9489603024574649</v>
      </c>
      <c r="I63" s="241">
        <f t="shared" si="17"/>
        <v>14.268710062448122</v>
      </c>
      <c r="J63" s="240">
        <f t="shared" si="13"/>
        <v>12.161909262759922</v>
      </c>
      <c r="K63" s="240">
        <f t="shared" si="10"/>
        <v>12.891623818525519</v>
      </c>
      <c r="L63" s="242">
        <f t="shared" si="14"/>
        <v>58.00000000000005</v>
      </c>
      <c r="M63" s="240">
        <f t="shared" si="18"/>
        <v>14.273827362664065</v>
      </c>
      <c r="N63" s="243">
        <f t="shared" si="15"/>
        <v>150.96295246070113</v>
      </c>
      <c r="O63" s="244">
        <f t="shared" si="19"/>
        <v>9.0643581500379309</v>
      </c>
      <c r="P63" s="244">
        <f t="shared" si="20"/>
        <v>10.300406988679466</v>
      </c>
      <c r="Q63" s="109"/>
      <c r="R63" s="109"/>
      <c r="S63" s="109"/>
      <c r="T63" s="109"/>
      <c r="U63" s="109"/>
      <c r="V63" s="109"/>
      <c r="W63" s="109"/>
      <c r="X63" s="109"/>
      <c r="Y63" s="109"/>
      <c r="Z63" s="109"/>
      <c r="AA63" s="109"/>
      <c r="AB63" s="109"/>
      <c r="AC63" s="109"/>
      <c r="AD63" s="109"/>
      <c r="AE63" s="109"/>
      <c r="AF63" s="109"/>
      <c r="AG63" s="109"/>
      <c r="AH63" s="109"/>
      <c r="AI63" s="109"/>
      <c r="AJ63" s="109"/>
      <c r="AK63" s="109"/>
      <c r="AL63" s="109"/>
      <c r="AM63" s="109"/>
      <c r="AN63" s="109"/>
      <c r="AO63" s="109"/>
      <c r="AP63" s="109"/>
      <c r="AQ63" s="109"/>
      <c r="AR63" s="109"/>
      <c r="AS63" s="109"/>
    </row>
    <row r="64" spans="1:45" ht="22.15" customHeight="1">
      <c r="A64" s="219"/>
      <c r="B64" s="219"/>
      <c r="C64" s="453"/>
      <c r="D64" s="219"/>
      <c r="E64" s="238">
        <v>59</v>
      </c>
      <c r="F64" s="239">
        <f t="shared" si="11"/>
        <v>1.0589999999999999</v>
      </c>
      <c r="G64" s="240">
        <f t="shared" si="16"/>
        <v>14.506889407077892</v>
      </c>
      <c r="H64" s="241">
        <f t="shared" si="12"/>
        <v>8.0783758262511753</v>
      </c>
      <c r="I64" s="241">
        <f t="shared" si="17"/>
        <v>14.502795615266109</v>
      </c>
      <c r="J64" s="240">
        <f t="shared" si="13"/>
        <v>12.359915014164299</v>
      </c>
      <c r="K64" s="240">
        <f t="shared" si="10"/>
        <v>13.101509915014157</v>
      </c>
      <c r="L64" s="242">
        <f t="shared" si="14"/>
        <v>58.999999999999943</v>
      </c>
      <c r="M64" s="240">
        <f t="shared" si="18"/>
        <v>14.507803766862935</v>
      </c>
      <c r="N64" s="243">
        <f t="shared" si="15"/>
        <v>153.58460556566808</v>
      </c>
      <c r="O64" s="244">
        <f t="shared" si="19"/>
        <v>9.2217716233519607</v>
      </c>
      <c r="P64" s="244">
        <f t="shared" si="20"/>
        <v>10.479285935627228</v>
      </c>
      <c r="Q64" s="109"/>
      <c r="R64" s="109"/>
      <c r="S64" s="109"/>
      <c r="T64" s="109"/>
      <c r="U64" s="109"/>
      <c r="V64" s="109"/>
      <c r="W64" s="109"/>
      <c r="X64" s="109"/>
      <c r="Y64" s="109"/>
      <c r="Z64" s="109"/>
      <c r="AA64" s="109"/>
      <c r="AB64" s="109"/>
      <c r="AC64" s="109"/>
      <c r="AD64" s="109"/>
      <c r="AE64" s="109"/>
      <c r="AF64" s="109"/>
      <c r="AG64" s="109"/>
      <c r="AH64" s="109"/>
      <c r="AI64" s="109"/>
      <c r="AJ64" s="109"/>
      <c r="AK64" s="109"/>
      <c r="AL64" s="109"/>
      <c r="AM64" s="109"/>
      <c r="AN64" s="109"/>
      <c r="AO64" s="109"/>
      <c r="AP64" s="109"/>
      <c r="AQ64" s="109"/>
      <c r="AR64" s="109"/>
      <c r="AS64" s="109"/>
    </row>
    <row r="65" spans="1:45" ht="22.15" customHeight="1">
      <c r="A65" s="219"/>
      <c r="B65" s="219"/>
      <c r="C65" s="453"/>
      <c r="D65" s="219"/>
      <c r="E65" s="238">
        <v>60</v>
      </c>
      <c r="F65" s="239">
        <f t="shared" si="11"/>
        <v>1.06</v>
      </c>
      <c r="G65" s="240">
        <f t="shared" si="16"/>
        <v>14.740454901599833</v>
      </c>
      <c r="H65" s="241">
        <f t="shared" si="12"/>
        <v>8.2075471698113347</v>
      </c>
      <c r="I65" s="241">
        <f t="shared" si="17"/>
        <v>14.736494064000112</v>
      </c>
      <c r="J65" s="240">
        <f t="shared" si="13"/>
        <v>12.557547169811341</v>
      </c>
      <c r="K65" s="240">
        <f t="shared" si="10"/>
        <v>13.311000000000023</v>
      </c>
      <c r="L65" s="242">
        <f>+$L$2*(F65-1)</f>
        <v>60.000000000000057</v>
      </c>
      <c r="M65" s="240">
        <f t="shared" si="18"/>
        <v>14.741383752000047</v>
      </c>
      <c r="N65" s="243">
        <f t="shared" si="15"/>
        <v>156.20683707840121</v>
      </c>
      <c r="O65" s="244">
        <f t="shared" si="19"/>
        <v>9.3792198263467732</v>
      </c>
      <c r="P65" s="244">
        <f t="shared" si="20"/>
        <v>10.658204348121334</v>
      </c>
      <c r="Q65" s="109"/>
      <c r="R65" s="109"/>
      <c r="S65" s="109"/>
      <c r="T65" s="109"/>
      <c r="U65" s="109"/>
      <c r="V65" s="109"/>
      <c r="W65" s="109"/>
      <c r="X65" s="109"/>
      <c r="Y65" s="109"/>
      <c r="Z65" s="109"/>
      <c r="AA65" s="109"/>
      <c r="AB65" s="109"/>
      <c r="AC65" s="109"/>
      <c r="AD65" s="109"/>
      <c r="AE65" s="109"/>
      <c r="AF65" s="109"/>
      <c r="AG65" s="109"/>
      <c r="AH65" s="109"/>
      <c r="AI65" s="109"/>
      <c r="AJ65" s="109"/>
      <c r="AK65" s="109"/>
      <c r="AL65" s="109"/>
      <c r="AM65" s="109"/>
      <c r="AN65" s="109"/>
      <c r="AO65" s="109"/>
      <c r="AP65" s="109"/>
      <c r="AQ65" s="109"/>
      <c r="AR65" s="109"/>
      <c r="AS65" s="109"/>
    </row>
    <row r="66" spans="1:45" ht="22.15" customHeight="1">
      <c r="A66" s="219"/>
      <c r="B66" s="219"/>
      <c r="C66" s="453"/>
      <c r="D66" s="219"/>
      <c r="E66" s="238">
        <v>61</v>
      </c>
      <c r="F66" s="239">
        <f t="shared" si="11"/>
        <v>1.0609999999999999</v>
      </c>
      <c r="G66" s="240">
        <f t="shared" si="16"/>
        <v>14.973629478158045</v>
      </c>
      <c r="H66" s="241">
        <f t="shared" si="12"/>
        <v>8.3364750235626559</v>
      </c>
      <c r="I66" s="241">
        <f t="shared" si="17"/>
        <v>14.969806268173897</v>
      </c>
      <c r="J66" s="240">
        <f t="shared" si="13"/>
        <v>12.754806786050864</v>
      </c>
      <c r="K66" s="240">
        <f t="shared" si="10"/>
        <v>13.520095193213916</v>
      </c>
      <c r="L66" s="242">
        <f t="shared" si="14"/>
        <v>60.999999999999943</v>
      </c>
      <c r="M66" s="240">
        <f t="shared" si="18"/>
        <v>14.974568134056994</v>
      </c>
      <c r="N66" s="243">
        <f t="shared" si="15"/>
        <v>158.82964450532504</v>
      </c>
      <c r="O66" s="244">
        <f t="shared" si="19"/>
        <v>9.5367026092991409</v>
      </c>
      <c r="P66" s="244">
        <f t="shared" si="20"/>
        <v>10.83716205602175</v>
      </c>
      <c r="Q66" s="109"/>
      <c r="R66" s="109"/>
      <c r="S66" s="109"/>
      <c r="T66" s="109"/>
      <c r="U66" s="109"/>
      <c r="V66" s="109"/>
      <c r="W66" s="109"/>
      <c r="X66" s="109"/>
      <c r="Y66" s="109"/>
      <c r="Z66" s="109"/>
      <c r="AA66" s="109"/>
      <c r="AB66" s="109"/>
      <c r="AC66" s="109"/>
      <c r="AD66" s="109"/>
      <c r="AE66" s="109"/>
      <c r="AF66" s="109"/>
      <c r="AG66" s="109"/>
      <c r="AH66" s="109"/>
      <c r="AI66" s="109"/>
      <c r="AJ66" s="109"/>
      <c r="AK66" s="109"/>
      <c r="AL66" s="109"/>
      <c r="AM66" s="109"/>
      <c r="AN66" s="109"/>
      <c r="AO66" s="109"/>
      <c r="AP66" s="109"/>
      <c r="AQ66" s="109"/>
      <c r="AR66" s="109"/>
      <c r="AS66" s="109"/>
    </row>
    <row r="67" spans="1:45" ht="22.15" customHeight="1">
      <c r="A67" s="219"/>
      <c r="B67" s="219"/>
      <c r="C67" s="453"/>
      <c r="D67" s="219"/>
      <c r="E67" s="238">
        <v>62</v>
      </c>
      <c r="F67" s="239">
        <f t="shared" si="11"/>
        <v>1.0620000000000001</v>
      </c>
      <c r="G67" s="240">
        <f t="shared" si="16"/>
        <v>15.206414231512667</v>
      </c>
      <c r="H67" s="241">
        <f t="shared" si="12"/>
        <v>8.4651600753295781</v>
      </c>
      <c r="I67" s="241">
        <f t="shared" si="17"/>
        <v>15.202733087311913</v>
      </c>
      <c r="J67" s="240">
        <f t="shared" si="13"/>
        <v>12.951694915254254</v>
      </c>
      <c r="K67" s="240">
        <f t="shared" si="10"/>
        <v>13.72879661016951</v>
      </c>
      <c r="L67" s="242">
        <f t="shared" si="14"/>
        <v>62.000000000000057</v>
      </c>
      <c r="M67" s="240">
        <f t="shared" si="18"/>
        <v>15.207357729016053</v>
      </c>
      <c r="N67" s="243">
        <f t="shared" si="15"/>
        <v>161.45302538725252</v>
      </c>
      <c r="O67" s="244">
        <f t="shared" si="19"/>
        <v>9.6942198245506326</v>
      </c>
      <c r="P67" s="244">
        <f t="shared" si="20"/>
        <v>11.016158891534809</v>
      </c>
      <c r="Q67" s="109"/>
      <c r="R67" s="109"/>
      <c r="S67" s="109"/>
      <c r="T67" s="109"/>
      <c r="U67" s="109"/>
      <c r="V67" s="109"/>
      <c r="W67" s="109"/>
      <c r="X67" s="109"/>
      <c r="Y67" s="109"/>
      <c r="Z67" s="109"/>
      <c r="AA67" s="109"/>
      <c r="AB67" s="109"/>
      <c r="AC67" s="109"/>
      <c r="AD67" s="109"/>
      <c r="AE67" s="109"/>
      <c r="AF67" s="109"/>
      <c r="AG67" s="109"/>
      <c r="AH67" s="109"/>
      <c r="AI67" s="109"/>
      <c r="AJ67" s="109"/>
      <c r="AK67" s="109"/>
      <c r="AL67" s="109"/>
      <c r="AM67" s="109"/>
      <c r="AN67" s="109"/>
      <c r="AO67" s="109"/>
      <c r="AP67" s="109"/>
      <c r="AQ67" s="109"/>
      <c r="AR67" s="109"/>
      <c r="AS67" s="109"/>
    </row>
    <row r="68" spans="1:45" ht="22.15" customHeight="1">
      <c r="A68" s="219"/>
      <c r="B68" s="219"/>
      <c r="C68" s="453"/>
      <c r="D68" s="219"/>
      <c r="E68" s="238">
        <v>63</v>
      </c>
      <c r="F68" s="239">
        <f t="shared" si="11"/>
        <v>1.0629999999999999</v>
      </c>
      <c r="G68" s="240">
        <f t="shared" si="16"/>
        <v>15.438810256424631</v>
      </c>
      <c r="H68" s="241">
        <f t="shared" si="12"/>
        <v>8.5936030103480618</v>
      </c>
      <c r="I68" s="241">
        <f t="shared" si="17"/>
        <v>15.435275380938037</v>
      </c>
      <c r="J68" s="240">
        <f t="shared" si="13"/>
        <v>13.148212605832535</v>
      </c>
      <c r="K68" s="240">
        <f t="shared" si="10"/>
        <v>13.937105362182487</v>
      </c>
      <c r="L68" s="242">
        <f t="shared" si="14"/>
        <v>62.999999999999943</v>
      </c>
      <c r="M68" s="240">
        <f t="shared" si="18"/>
        <v>15.439753352858929</v>
      </c>
      <c r="N68" s="243">
        <f t="shared" si="15"/>
        <v>164.07697729937132</v>
      </c>
      <c r="O68" s="244">
        <f t="shared" si="19"/>
        <v>9.851771326506805</v>
      </c>
      <c r="P68" s="244">
        <f t="shared" si="20"/>
        <v>11.195194689212277</v>
      </c>
      <c r="Q68" s="109"/>
      <c r="R68" s="109"/>
      <c r="S68" s="109"/>
      <c r="T68" s="109"/>
      <c r="U68" s="109"/>
      <c r="V68" s="109"/>
      <c r="W68" s="109"/>
      <c r="X68" s="109"/>
      <c r="Y68" s="109"/>
      <c r="Z68" s="109"/>
      <c r="AA68" s="109"/>
      <c r="AB68" s="109"/>
      <c r="AC68" s="109"/>
      <c r="AD68" s="109"/>
      <c r="AE68" s="109"/>
      <c r="AF68" s="109"/>
      <c r="AG68" s="109"/>
      <c r="AH68" s="109"/>
      <c r="AI68" s="109"/>
      <c r="AJ68" s="109"/>
      <c r="AK68" s="109"/>
      <c r="AL68" s="109"/>
      <c r="AM68" s="109"/>
      <c r="AN68" s="109"/>
      <c r="AO68" s="109"/>
      <c r="AP68" s="109"/>
      <c r="AQ68" s="109"/>
      <c r="AR68" s="109"/>
      <c r="AS68" s="109"/>
    </row>
    <row r="69" spans="1:45" ht="22.15" customHeight="1">
      <c r="A69" s="219"/>
      <c r="B69" s="219"/>
      <c r="C69" s="453"/>
      <c r="D69" s="219"/>
      <c r="E69" s="238">
        <v>64</v>
      </c>
      <c r="F69" s="239">
        <f t="shared" si="11"/>
        <v>1.0640000000000001</v>
      </c>
      <c r="G69" s="240">
        <f t="shared" ref="G69:G100" si="21">+((($Z$18*F69-$Z$19)*F69+$Z$20)*F69-$Z$21)</f>
        <v>15.670818647654301</v>
      </c>
      <c r="H69" s="241">
        <f t="shared" si="12"/>
        <v>8.7218045112782079</v>
      </c>
      <c r="I69" s="241">
        <f t="shared" ref="I69:I100" si="22">($Z$11*F69^3)-($Z$12*F69^2)+($Z$13*F69)-$Z$14</f>
        <v>15.667434008576038</v>
      </c>
      <c r="J69" s="240">
        <f t="shared" si="13"/>
        <v>13.344360902255659</v>
      </c>
      <c r="K69" s="240">
        <f t="shared" si="10"/>
        <v>14.145022556390998</v>
      </c>
      <c r="L69" s="242">
        <f t="shared" si="14"/>
        <v>64.000000000000057</v>
      </c>
      <c r="M69" s="240">
        <f t="shared" ref="M69:M100" si="23">+((($Z$22*F69-$Z$23)*F69+$Z$24)*F69-$Z$25)</f>
        <v>15.671755821568127</v>
      </c>
      <c r="N69" s="243">
        <f t="shared" si="15"/>
        <v>166.70149785124906</v>
      </c>
      <c r="O69" s="244">
        <f t="shared" ref="O69:O100" si="24">+P69*$Z$31</f>
        <v>10.009356971637505</v>
      </c>
      <c r="P69" s="244">
        <f t="shared" ref="P69:P100" si="25">+(((N69/$Z$26)*$Z$27)/$Z$28)/$Z$29</f>
        <v>11.37426928595171</v>
      </c>
      <c r="Q69" s="109"/>
      <c r="R69" s="109"/>
      <c r="S69" s="109"/>
      <c r="T69" s="109"/>
      <c r="U69" s="109"/>
      <c r="V69" s="109"/>
      <c r="W69" s="109"/>
      <c r="X69" s="109"/>
      <c r="Y69" s="109"/>
      <c r="Z69" s="109"/>
      <c r="AA69" s="109"/>
      <c r="AB69" s="109"/>
      <c r="AC69" s="109"/>
      <c r="AD69" s="109"/>
      <c r="AE69" s="109"/>
      <c r="AF69" s="109"/>
      <c r="AG69" s="109"/>
      <c r="AH69" s="109"/>
      <c r="AI69" s="109"/>
      <c r="AJ69" s="109"/>
      <c r="AK69" s="109"/>
      <c r="AL69" s="109"/>
      <c r="AM69" s="109"/>
      <c r="AN69" s="109"/>
      <c r="AO69" s="109"/>
      <c r="AP69" s="109"/>
      <c r="AQ69" s="109"/>
      <c r="AR69" s="109"/>
      <c r="AS69" s="109"/>
    </row>
    <row r="70" spans="1:45" ht="22.15" customHeight="1">
      <c r="A70" s="219"/>
      <c r="B70" s="219"/>
      <c r="C70" s="453"/>
      <c r="D70" s="219"/>
      <c r="E70" s="238">
        <v>65</v>
      </c>
      <c r="F70" s="239">
        <f t="shared" si="11"/>
        <v>1.0649999999999999</v>
      </c>
      <c r="G70" s="240">
        <f t="shared" si="21"/>
        <v>15.902440499962381</v>
      </c>
      <c r="H70" s="241">
        <f t="shared" si="12"/>
        <v>8.8497652582159674</v>
      </c>
      <c r="I70" s="241">
        <f t="shared" si="22"/>
        <v>15.899209829750021</v>
      </c>
      <c r="J70" s="240">
        <f t="shared" si="13"/>
        <v>13.540140845070431</v>
      </c>
      <c r="K70" s="240">
        <f t="shared" ref="K70:K133" si="26">+J70*$K$2</f>
        <v>14.352549295774658</v>
      </c>
      <c r="L70" s="242">
        <f t="shared" si="14"/>
        <v>64.999999999999943</v>
      </c>
      <c r="M70" s="240">
        <f t="shared" si="23"/>
        <v>15.903365951125011</v>
      </c>
      <c r="N70" s="243">
        <f t="shared" si="15"/>
        <v>169.32658468683772</v>
      </c>
      <c r="O70" s="244">
        <f t="shared" si="24"/>
        <v>10.166976618477149</v>
      </c>
      <c r="P70" s="244">
        <f t="shared" si="25"/>
        <v>11.55338252099676</v>
      </c>
      <c r="Q70" s="109"/>
      <c r="R70" s="109"/>
      <c r="S70" s="109"/>
      <c r="T70" s="109"/>
      <c r="U70" s="109"/>
      <c r="V70" s="109"/>
      <c r="W70" s="109"/>
      <c r="X70" s="109"/>
      <c r="Y70" s="109"/>
      <c r="Z70" s="109"/>
      <c r="AA70" s="109"/>
      <c r="AB70" s="109"/>
      <c r="AC70" s="109"/>
      <c r="AD70" s="109"/>
      <c r="AE70" s="109"/>
      <c r="AF70" s="109"/>
      <c r="AG70" s="109"/>
      <c r="AH70" s="109"/>
      <c r="AI70" s="109"/>
      <c r="AJ70" s="109"/>
      <c r="AK70" s="109"/>
      <c r="AL70" s="109"/>
      <c r="AM70" s="109"/>
      <c r="AN70" s="109"/>
      <c r="AO70" s="109"/>
      <c r="AP70" s="109"/>
      <c r="AQ70" s="109"/>
      <c r="AR70" s="109"/>
      <c r="AS70" s="109"/>
    </row>
    <row r="71" spans="1:45" ht="22.15" customHeight="1">
      <c r="A71" s="219"/>
      <c r="B71" s="219"/>
      <c r="C71" s="453"/>
      <c r="D71" s="219"/>
      <c r="E71" s="238">
        <v>66</v>
      </c>
      <c r="F71" s="239">
        <f t="shared" si="11"/>
        <v>1.0660000000000001</v>
      </c>
      <c r="G71" s="240">
        <f t="shared" si="21"/>
        <v>16.133676908109578</v>
      </c>
      <c r="H71" s="241">
        <f t="shared" si="12"/>
        <v>8.9774859287054483</v>
      </c>
      <c r="I71" s="241">
        <f t="shared" si="22"/>
        <v>16.130603703983979</v>
      </c>
      <c r="J71" s="240">
        <f t="shared" si="13"/>
        <v>13.735553470919337</v>
      </c>
      <c r="K71" s="240">
        <f t="shared" si="26"/>
        <v>14.559686679174497</v>
      </c>
      <c r="L71" s="242">
        <f t="shared" si="14"/>
        <v>66.000000000000057</v>
      </c>
      <c r="M71" s="240">
        <f t="shared" si="23"/>
        <v>16.134584557512085</v>
      </c>
      <c r="N71" s="243">
        <f t="shared" si="15"/>
        <v>171.95223548446924</v>
      </c>
      <c r="O71" s="244">
        <f t="shared" si="24"/>
        <v>10.324630127624438</v>
      </c>
      <c r="P71" s="244">
        <f t="shared" si="25"/>
        <v>11.732534235936862</v>
      </c>
      <c r="Q71" s="109"/>
      <c r="R71" s="109"/>
      <c r="S71" s="109"/>
      <c r="T71" s="109"/>
      <c r="U71" s="109"/>
      <c r="V71" s="109"/>
      <c r="W71" s="109"/>
      <c r="X71" s="109"/>
      <c r="Y71" s="109"/>
      <c r="Z71" s="109"/>
      <c r="AA71" s="109"/>
      <c r="AB71" s="109"/>
      <c r="AC71" s="109"/>
      <c r="AD71" s="109"/>
      <c r="AE71" s="109"/>
      <c r="AF71" s="109"/>
      <c r="AG71" s="109"/>
      <c r="AH71" s="109"/>
      <c r="AI71" s="109"/>
      <c r="AJ71" s="109"/>
      <c r="AK71" s="109"/>
      <c r="AL71" s="109"/>
      <c r="AM71" s="109"/>
      <c r="AN71" s="109"/>
      <c r="AO71" s="109"/>
      <c r="AP71" s="109"/>
      <c r="AQ71" s="109"/>
      <c r="AR71" s="109"/>
      <c r="AS71" s="109"/>
    </row>
    <row r="72" spans="1:45" ht="22.15" customHeight="1">
      <c r="A72" s="219"/>
      <c r="B72" s="219"/>
      <c r="C72" s="453"/>
      <c r="D72" s="219"/>
      <c r="E72" s="238">
        <v>67</v>
      </c>
      <c r="F72" s="239">
        <f t="shared" si="11"/>
        <v>1.0669999999999999</v>
      </c>
      <c r="G72" s="240">
        <f t="shared" si="21"/>
        <v>16.364528966856255</v>
      </c>
      <c r="H72" s="241">
        <f t="shared" si="12"/>
        <v>9.1049671977507103</v>
      </c>
      <c r="I72" s="241">
        <f t="shared" si="22"/>
        <v>16.361616490802021</v>
      </c>
      <c r="J72" s="240">
        <f t="shared" si="13"/>
        <v>13.930599812558587</v>
      </c>
      <c r="K72" s="240">
        <f t="shared" si="26"/>
        <v>14.766435801312102</v>
      </c>
      <c r="L72" s="242">
        <f t="shared" si="14"/>
        <v>66.999999999999943</v>
      </c>
      <c r="M72" s="240">
        <f t="shared" si="23"/>
        <v>16.365412456710942</v>
      </c>
      <c r="N72" s="243">
        <f t="shared" si="15"/>
        <v>174.57844795685756</v>
      </c>
      <c r="O72" s="244">
        <f t="shared" si="24"/>
        <v>10.482317361742497</v>
      </c>
      <c r="P72" s="244">
        <f t="shared" si="25"/>
        <v>11.911724274707383</v>
      </c>
      <c r="Q72" s="109"/>
      <c r="R72" s="109"/>
      <c r="S72" s="109"/>
      <c r="T72" s="109"/>
      <c r="U72" s="109"/>
      <c r="V72" s="109"/>
      <c r="W72" s="109"/>
      <c r="X72" s="109"/>
      <c r="Y72" s="109"/>
      <c r="Z72" s="109"/>
      <c r="AA72" s="109"/>
      <c r="AB72" s="109"/>
      <c r="AC72" s="109"/>
      <c r="AD72" s="109"/>
      <c r="AE72" s="109"/>
      <c r="AF72" s="109"/>
      <c r="AG72" s="109"/>
      <c r="AH72" s="109"/>
      <c r="AI72" s="109"/>
      <c r="AJ72" s="109"/>
      <c r="AK72" s="109"/>
      <c r="AL72" s="109"/>
      <c r="AM72" s="109"/>
      <c r="AN72" s="109"/>
      <c r="AO72" s="109"/>
      <c r="AP72" s="109"/>
      <c r="AQ72" s="109"/>
      <c r="AR72" s="109"/>
      <c r="AS72" s="109"/>
    </row>
    <row r="73" spans="1:45" ht="22.15" customHeight="1">
      <c r="A73" s="219"/>
      <c r="B73" s="219"/>
      <c r="C73" s="453"/>
      <c r="D73" s="219"/>
      <c r="E73" s="238">
        <v>68</v>
      </c>
      <c r="F73" s="239">
        <f t="shared" si="11"/>
        <v>1.0680000000000001</v>
      </c>
      <c r="G73" s="240">
        <f t="shared" si="21"/>
        <v>16.594997770963232</v>
      </c>
      <c r="H73" s="241">
        <f t="shared" si="12"/>
        <v>9.2322097378277306</v>
      </c>
      <c r="I73" s="241">
        <f t="shared" si="22"/>
        <v>16.592249049728139</v>
      </c>
      <c r="J73" s="240">
        <f t="shared" si="13"/>
        <v>14.125280898876428</v>
      </c>
      <c r="K73" s="240">
        <f t="shared" si="26"/>
        <v>14.972797752809013</v>
      </c>
      <c r="L73" s="242">
        <f t="shared" si="14"/>
        <v>68.000000000000057</v>
      </c>
      <c r="M73" s="240">
        <f t="shared" si="23"/>
        <v>16.595850464704085</v>
      </c>
      <c r="N73" s="243">
        <f t="shared" si="15"/>
        <v>177.20521985109653</v>
      </c>
      <c r="O73" s="244">
        <f t="shared" si="24"/>
        <v>10.640038185558751</v>
      </c>
      <c r="P73" s="244">
        <f t="shared" si="25"/>
        <v>12.09095248358949</v>
      </c>
      <c r="Q73" s="109"/>
      <c r="R73" s="109"/>
      <c r="S73" s="109"/>
      <c r="T73" s="109"/>
      <c r="U73" s="109"/>
      <c r="V73" s="109"/>
      <c r="W73" s="109"/>
      <c r="X73" s="109"/>
      <c r="Y73" s="109"/>
      <c r="Z73" s="109"/>
      <c r="AA73" s="109"/>
      <c r="AB73" s="109"/>
      <c r="AC73" s="109"/>
      <c r="AD73" s="109"/>
      <c r="AE73" s="109"/>
      <c r="AF73" s="109"/>
      <c r="AG73" s="109"/>
      <c r="AH73" s="109"/>
      <c r="AI73" s="109"/>
      <c r="AJ73" s="109"/>
      <c r="AK73" s="109"/>
      <c r="AL73" s="109"/>
      <c r="AM73" s="109"/>
      <c r="AN73" s="109"/>
      <c r="AO73" s="109"/>
      <c r="AP73" s="109"/>
      <c r="AQ73" s="109"/>
      <c r="AR73" s="109"/>
      <c r="AS73" s="109"/>
    </row>
    <row r="74" spans="1:45" ht="22.15" customHeight="1">
      <c r="A74" s="219"/>
      <c r="B74" s="219"/>
      <c r="C74" s="453"/>
      <c r="D74" s="219"/>
      <c r="E74" s="238">
        <v>69</v>
      </c>
      <c r="F74" s="239">
        <f t="shared" si="11"/>
        <v>1.069</v>
      </c>
      <c r="G74" s="240">
        <f t="shared" si="21"/>
        <v>16.825084415190872</v>
      </c>
      <c r="H74" s="241">
        <f t="shared" si="12"/>
        <v>9.3592142188961702</v>
      </c>
      <c r="I74" s="241">
        <f t="shared" si="22"/>
        <v>16.822502240286099</v>
      </c>
      <c r="J74" s="240">
        <f t="shared" si="13"/>
        <v>14.319597754911142</v>
      </c>
      <c r="K74" s="240">
        <f t="shared" si="26"/>
        <v>15.17877362020581</v>
      </c>
      <c r="L74" s="242">
        <f t="shared" si="14"/>
        <v>68.999999999999943</v>
      </c>
      <c r="M74" s="240">
        <f t="shared" si="23"/>
        <v>16.825899397473108</v>
      </c>
      <c r="N74" s="243">
        <f t="shared" si="15"/>
        <v>179.8325489486584</v>
      </c>
      <c r="O74" s="244">
        <f t="shared" si="24"/>
        <v>10.797792465864816</v>
      </c>
      <c r="P74" s="244">
        <f t="shared" si="25"/>
        <v>12.270218711210019</v>
      </c>
      <c r="Q74" s="109"/>
      <c r="R74" s="109"/>
      <c r="S74" s="109"/>
      <c r="T74" s="109"/>
      <c r="U74" s="109"/>
      <c r="V74" s="109"/>
      <c r="W74" s="109"/>
      <c r="X74" s="109"/>
      <c r="Y74" s="109"/>
      <c r="Z74" s="109"/>
      <c r="AA74" s="109"/>
      <c r="AB74" s="109"/>
      <c r="AC74" s="109"/>
      <c r="AD74" s="109"/>
      <c r="AE74" s="109"/>
      <c r="AF74" s="109"/>
      <c r="AG74" s="109"/>
      <c r="AH74" s="109"/>
      <c r="AI74" s="109"/>
      <c r="AJ74" s="109"/>
      <c r="AK74" s="109"/>
      <c r="AL74" s="109"/>
      <c r="AM74" s="109"/>
      <c r="AN74" s="109"/>
      <c r="AO74" s="109"/>
      <c r="AP74" s="109"/>
      <c r="AQ74" s="109"/>
      <c r="AR74" s="109"/>
      <c r="AS74" s="109"/>
    </row>
    <row r="75" spans="1:45" ht="22.15" customHeight="1">
      <c r="A75" s="219"/>
      <c r="B75" s="219"/>
      <c r="C75" s="453"/>
      <c r="D75" s="219"/>
      <c r="E75" s="238">
        <v>70</v>
      </c>
      <c r="F75" s="239">
        <f t="shared" si="11"/>
        <v>1.07</v>
      </c>
      <c r="G75" s="240">
        <f t="shared" si="21"/>
        <v>17.054789994299881</v>
      </c>
      <c r="H75" s="241">
        <f t="shared" si="12"/>
        <v>9.4859813084112261</v>
      </c>
      <c r="I75" s="241">
        <f t="shared" si="22"/>
        <v>17.052376922000121</v>
      </c>
      <c r="J75" s="240">
        <f t="shared" si="13"/>
        <v>14.513551401869176</v>
      </c>
      <c r="K75" s="240">
        <f t="shared" si="26"/>
        <v>15.384364485981328</v>
      </c>
      <c r="L75" s="242">
        <f t="shared" si="14"/>
        <v>70.000000000000057</v>
      </c>
      <c r="M75" s="240">
        <f t="shared" si="23"/>
        <v>17.055560071000059</v>
      </c>
      <c r="N75" s="243">
        <f t="shared" si="15"/>
        <v>182.4604330654013</v>
      </c>
      <c r="O75" s="244">
        <f t="shared" si="24"/>
        <v>10.955580071516968</v>
      </c>
      <c r="P75" s="244">
        <f t="shared" si="25"/>
        <v>12.449522808542008</v>
      </c>
      <c r="Q75" s="109"/>
      <c r="R75" s="109"/>
      <c r="S75" s="109"/>
      <c r="T75" s="109"/>
      <c r="U75" s="109"/>
      <c r="V75" s="109"/>
      <c r="W75" s="109"/>
      <c r="X75" s="109"/>
      <c r="Y75" s="109"/>
      <c r="Z75" s="109"/>
      <c r="AA75" s="109"/>
      <c r="AB75" s="109"/>
      <c r="AC75" s="109"/>
      <c r="AD75" s="109"/>
      <c r="AE75" s="109"/>
      <c r="AF75" s="109"/>
      <c r="AG75" s="109"/>
      <c r="AH75" s="109"/>
      <c r="AI75" s="109"/>
      <c r="AJ75" s="109"/>
      <c r="AK75" s="109"/>
      <c r="AL75" s="109"/>
      <c r="AM75" s="109"/>
      <c r="AN75" s="109"/>
      <c r="AO75" s="109"/>
      <c r="AP75" s="109"/>
      <c r="AQ75" s="109"/>
      <c r="AR75" s="109"/>
      <c r="AS75" s="109"/>
    </row>
    <row r="76" spans="1:45" ht="22.15" customHeight="1">
      <c r="A76" s="219"/>
      <c r="B76" s="219"/>
      <c r="C76" s="453"/>
      <c r="D76" s="219"/>
      <c r="E76" s="238">
        <v>71</v>
      </c>
      <c r="F76" s="239">
        <f t="shared" si="11"/>
        <v>1.071</v>
      </c>
      <c r="G76" s="240">
        <f t="shared" si="21"/>
        <v>17.284115603051077</v>
      </c>
      <c r="H76" s="241">
        <f t="shared" si="12"/>
        <v>9.6125116713351986</v>
      </c>
      <c r="I76" s="241">
        <f t="shared" si="22"/>
        <v>17.281873954393973</v>
      </c>
      <c r="J76" s="240">
        <f t="shared" si="13"/>
        <v>14.707142857142854</v>
      </c>
      <c r="K76" s="240">
        <f t="shared" si="26"/>
        <v>15.589571428571427</v>
      </c>
      <c r="L76" s="242">
        <f t="shared" si="14"/>
        <v>70.999999999999957</v>
      </c>
      <c r="M76" s="240">
        <f t="shared" si="23"/>
        <v>17.284833301266985</v>
      </c>
      <c r="N76" s="243">
        <f t="shared" si="15"/>
        <v>185.08887005155944</v>
      </c>
      <c r="O76" s="244">
        <f t="shared" si="24"/>
        <v>11.113400873435543</v>
      </c>
      <c r="P76" s="244">
        <f t="shared" si="25"/>
        <v>12.628864628904026</v>
      </c>
      <c r="Q76" s="109"/>
      <c r="R76" s="109"/>
      <c r="S76" s="109"/>
      <c r="T76" s="109"/>
      <c r="U76" s="109"/>
      <c r="V76" s="109"/>
      <c r="W76" s="109"/>
      <c r="X76" s="109"/>
      <c r="Y76" s="109"/>
      <c r="Z76" s="109"/>
      <c r="AA76" s="109"/>
      <c r="AB76" s="109"/>
      <c r="AC76" s="109"/>
      <c r="AD76" s="109"/>
      <c r="AE76" s="109"/>
      <c r="AF76" s="109"/>
      <c r="AG76" s="109"/>
      <c r="AH76" s="109"/>
      <c r="AI76" s="109"/>
      <c r="AJ76" s="109"/>
      <c r="AK76" s="109"/>
      <c r="AL76" s="109"/>
      <c r="AM76" s="109"/>
      <c r="AN76" s="109"/>
      <c r="AO76" s="109"/>
      <c r="AP76" s="109"/>
      <c r="AQ76" s="109"/>
      <c r="AR76" s="109"/>
      <c r="AS76" s="109"/>
    </row>
    <row r="77" spans="1:45" ht="22.15" customHeight="1">
      <c r="A77" s="219"/>
      <c r="B77" s="219"/>
      <c r="C77" s="453"/>
      <c r="D77" s="219"/>
      <c r="E77" s="238">
        <v>72</v>
      </c>
      <c r="F77" s="239">
        <f t="shared" si="11"/>
        <v>1.0720000000000001</v>
      </c>
      <c r="G77" s="240">
        <f t="shared" si="21"/>
        <v>17.513062336204712</v>
      </c>
      <c r="H77" s="241">
        <f t="shared" si="12"/>
        <v>9.738805970149258</v>
      </c>
      <c r="I77" s="241">
        <f t="shared" si="22"/>
        <v>17.510994196992101</v>
      </c>
      <c r="J77" s="240">
        <f t="shared" si="13"/>
        <v>14.900373134328365</v>
      </c>
      <c r="K77" s="240">
        <f t="shared" si="26"/>
        <v>15.794395522388069</v>
      </c>
      <c r="L77" s="242">
        <f t="shared" si="14"/>
        <v>72.000000000000057</v>
      </c>
      <c r="M77" s="240">
        <f t="shared" si="23"/>
        <v>17.51371990425605</v>
      </c>
      <c r="N77" s="243">
        <f t="shared" si="15"/>
        <v>187.71785779175534</v>
      </c>
      <c r="O77" s="244">
        <f t="shared" si="24"/>
        <v>11.271254744605679</v>
      </c>
      <c r="P77" s="244">
        <f t="shared" si="25"/>
        <v>12.808244027960999</v>
      </c>
      <c r="Q77" s="109"/>
      <c r="R77" s="109"/>
      <c r="S77" s="109"/>
      <c r="T77" s="109"/>
      <c r="U77" s="109"/>
      <c r="V77" s="109"/>
      <c r="W77" s="109"/>
      <c r="X77" s="109"/>
      <c r="Y77" s="109"/>
      <c r="Z77" s="109"/>
      <c r="AA77" s="109"/>
      <c r="AB77" s="109"/>
      <c r="AC77" s="109"/>
      <c r="AD77" s="109"/>
      <c r="AE77" s="109"/>
      <c r="AF77" s="109"/>
      <c r="AG77" s="109"/>
      <c r="AH77" s="109"/>
      <c r="AI77" s="109"/>
      <c r="AJ77" s="109"/>
      <c r="AK77" s="109"/>
      <c r="AL77" s="109"/>
      <c r="AM77" s="109"/>
      <c r="AN77" s="109"/>
      <c r="AO77" s="109"/>
      <c r="AP77" s="109"/>
      <c r="AQ77" s="109"/>
      <c r="AR77" s="109"/>
      <c r="AS77" s="109"/>
    </row>
    <row r="78" spans="1:45" ht="22.15" customHeight="1">
      <c r="A78" s="219"/>
      <c r="B78" s="219"/>
      <c r="C78" s="453"/>
      <c r="D78" s="219"/>
      <c r="E78" s="238">
        <v>73</v>
      </c>
      <c r="F78" s="239">
        <f t="shared" si="11"/>
        <v>1.073</v>
      </c>
      <c r="G78" s="240">
        <f t="shared" si="21"/>
        <v>17.741631288521603</v>
      </c>
      <c r="H78" s="241">
        <f t="shared" si="12"/>
        <v>9.8648648648648702</v>
      </c>
      <c r="I78" s="241">
        <f t="shared" si="22"/>
        <v>17.739738509318045</v>
      </c>
      <c r="J78" s="240">
        <f t="shared" si="13"/>
        <v>15.093243243243252</v>
      </c>
      <c r="K78" s="240">
        <f t="shared" si="26"/>
        <v>15.998837837837849</v>
      </c>
      <c r="L78" s="242">
        <f t="shared" si="14"/>
        <v>72.999999999999957</v>
      </c>
      <c r="M78" s="240">
        <f t="shared" si="23"/>
        <v>17.742220695948959</v>
      </c>
      <c r="N78" s="243">
        <f t="shared" si="15"/>
        <v>190.34739420498261</v>
      </c>
      <c r="O78" s="244">
        <f t="shared" si="24"/>
        <v>11.429141560076268</v>
      </c>
      <c r="P78" s="244">
        <f t="shared" si="25"/>
        <v>12.987660863723031</v>
      </c>
      <c r="Q78" s="109"/>
      <c r="R78" s="109"/>
      <c r="S78" s="109"/>
      <c r="T78" s="109"/>
      <c r="U78" s="109"/>
      <c r="V78" s="109"/>
      <c r="W78" s="109"/>
      <c r="X78" s="109"/>
      <c r="Y78" s="109"/>
      <c r="Z78" s="109"/>
      <c r="AA78" s="109"/>
      <c r="AB78" s="109"/>
      <c r="AC78" s="109"/>
      <c r="AD78" s="109"/>
      <c r="AE78" s="109"/>
      <c r="AF78" s="109"/>
      <c r="AG78" s="109"/>
      <c r="AH78" s="109"/>
      <c r="AI78" s="109"/>
      <c r="AJ78" s="109"/>
      <c r="AK78" s="109"/>
      <c r="AL78" s="109"/>
      <c r="AM78" s="109"/>
      <c r="AN78" s="109"/>
      <c r="AO78" s="109"/>
      <c r="AP78" s="109"/>
      <c r="AQ78" s="109"/>
      <c r="AR78" s="109"/>
      <c r="AS78" s="109"/>
    </row>
    <row r="79" spans="1:45" ht="22.15" customHeight="1">
      <c r="A79" s="219"/>
      <c r="B79" s="219"/>
      <c r="C79" s="454"/>
      <c r="D79" s="219"/>
      <c r="E79" s="238">
        <v>74</v>
      </c>
      <c r="F79" s="239">
        <f t="shared" si="11"/>
        <v>1.0740000000000001</v>
      </c>
      <c r="G79" s="240">
        <f t="shared" si="21"/>
        <v>17.969823554762343</v>
      </c>
      <c r="H79" s="241">
        <f t="shared" si="12"/>
        <v>9.9906890130353929</v>
      </c>
      <c r="I79" s="241">
        <f t="shared" si="22"/>
        <v>17.968107750896138</v>
      </c>
      <c r="J79" s="240">
        <f t="shared" si="13"/>
        <v>15.285754189944152</v>
      </c>
      <c r="K79" s="240">
        <f t="shared" si="26"/>
        <v>16.202899441340801</v>
      </c>
      <c r="L79" s="242">
        <f t="shared" si="14"/>
        <v>74.000000000000071</v>
      </c>
      <c r="M79" s="240">
        <f t="shared" si="23"/>
        <v>17.970336492327988</v>
      </c>
      <c r="N79" s="243">
        <f t="shared" si="15"/>
        <v>192.97747724462454</v>
      </c>
      <c r="O79" s="244">
        <f t="shared" si="24"/>
        <v>11.587061196961093</v>
      </c>
      <c r="P79" s="244">
        <f t="shared" si="25"/>
        <v>13.167114996546696</v>
      </c>
      <c r="Q79" s="109"/>
      <c r="R79" s="109"/>
      <c r="S79" s="109"/>
      <c r="T79" s="109"/>
      <c r="U79" s="109"/>
      <c r="V79" s="109"/>
      <c r="W79" s="109"/>
      <c r="X79" s="109"/>
      <c r="Y79" s="109"/>
      <c r="Z79" s="109"/>
      <c r="AA79" s="109"/>
      <c r="AB79" s="109"/>
      <c r="AC79" s="109"/>
      <c r="AD79" s="109"/>
      <c r="AE79" s="109"/>
      <c r="AF79" s="109"/>
      <c r="AG79" s="109"/>
      <c r="AH79" s="109"/>
      <c r="AI79" s="109"/>
      <c r="AJ79" s="109"/>
      <c r="AK79" s="109"/>
      <c r="AL79" s="109"/>
      <c r="AM79" s="109"/>
      <c r="AN79" s="109"/>
      <c r="AO79" s="109"/>
      <c r="AP79" s="109"/>
      <c r="AQ79" s="109"/>
      <c r="AR79" s="109"/>
      <c r="AS79" s="109"/>
    </row>
    <row r="80" spans="1:45" ht="22.15" customHeight="1">
      <c r="A80" s="219"/>
      <c r="B80" s="219"/>
      <c r="C80" s="455" t="s">
        <v>320</v>
      </c>
      <c r="D80" s="219"/>
      <c r="E80" s="245">
        <v>75</v>
      </c>
      <c r="F80" s="246">
        <f t="shared" si="11"/>
        <v>1.075</v>
      </c>
      <c r="G80" s="247">
        <f t="shared" si="21"/>
        <v>18.197640229687408</v>
      </c>
      <c r="H80" s="248">
        <f t="shared" si="12"/>
        <v>10.116279069767444</v>
      </c>
      <c r="I80" s="248">
        <f t="shared" si="22"/>
        <v>18.196102781250261</v>
      </c>
      <c r="J80" s="247">
        <f t="shared" si="13"/>
        <v>15.477906976744189</v>
      </c>
      <c r="K80" s="247">
        <f t="shared" si="26"/>
        <v>16.406581395348841</v>
      </c>
      <c r="L80" s="249">
        <f t="shared" si="14"/>
        <v>74.999999999999957</v>
      </c>
      <c r="M80" s="247">
        <f t="shared" si="23"/>
        <v>18.198068109374958</v>
      </c>
      <c r="N80" s="250">
        <f t="shared" si="15"/>
        <v>195.6081048984403</v>
      </c>
      <c r="O80" s="251">
        <f t="shared" si="24"/>
        <v>11.745013534437978</v>
      </c>
      <c r="P80" s="251">
        <f t="shared" si="25"/>
        <v>13.346606289134067</v>
      </c>
      <c r="Q80" s="109"/>
      <c r="R80" s="109"/>
      <c r="S80" s="109"/>
      <c r="T80" s="109"/>
      <c r="U80" s="109"/>
      <c r="V80" s="109"/>
      <c r="W80" s="109"/>
      <c r="X80" s="109"/>
      <c r="Y80" s="109"/>
      <c r="Z80" s="109"/>
      <c r="AA80" s="109"/>
      <c r="AB80" s="109"/>
      <c r="AC80" s="109"/>
      <c r="AD80" s="109"/>
      <c r="AE80" s="109"/>
      <c r="AF80" s="109"/>
      <c r="AG80" s="109"/>
      <c r="AH80" s="109"/>
      <c r="AI80" s="109"/>
      <c r="AJ80" s="109"/>
      <c r="AK80" s="109"/>
      <c r="AL80" s="109"/>
      <c r="AM80" s="109"/>
      <c r="AN80" s="109"/>
      <c r="AO80" s="109"/>
      <c r="AP80" s="109"/>
      <c r="AQ80" s="109"/>
      <c r="AR80" s="109"/>
      <c r="AS80" s="109"/>
    </row>
    <row r="81" spans="1:45" ht="22.15" customHeight="1">
      <c r="A81" s="219"/>
      <c r="B81" s="219"/>
      <c r="C81" s="456"/>
      <c r="D81" s="219"/>
      <c r="E81" s="245">
        <v>76</v>
      </c>
      <c r="F81" s="246">
        <f t="shared" si="11"/>
        <v>1.0760000000000001</v>
      </c>
      <c r="G81" s="247">
        <f t="shared" si="21"/>
        <v>18.425082408057506</v>
      </c>
      <c r="H81" s="248">
        <f t="shared" si="12"/>
        <v>10.241635687732355</v>
      </c>
      <c r="I81" s="248">
        <f t="shared" si="22"/>
        <v>18.423724459904179</v>
      </c>
      <c r="J81" s="247">
        <f t="shared" si="13"/>
        <v>15.669702602230503</v>
      </c>
      <c r="K81" s="247">
        <f t="shared" si="26"/>
        <v>16.609884758364334</v>
      </c>
      <c r="L81" s="249">
        <f t="shared" si="14"/>
        <v>76.000000000000071</v>
      </c>
      <c r="M81" s="247">
        <f t="shared" si="23"/>
        <v>18.425416363072031</v>
      </c>
      <c r="N81" s="250">
        <f t="shared" si="15"/>
        <v>198.23927518856897</v>
      </c>
      <c r="O81" s="251">
        <f t="shared" si="24"/>
        <v>11.902998453749055</v>
      </c>
      <c r="P81" s="251">
        <f t="shared" si="25"/>
        <v>13.526134606533017</v>
      </c>
      <c r="Q81" s="109"/>
      <c r="R81" s="109"/>
      <c r="S81" s="109"/>
      <c r="T81" s="109"/>
      <c r="U81" s="109"/>
      <c r="V81" s="109"/>
      <c r="W81" s="109"/>
      <c r="X81" s="109"/>
      <c r="Y81" s="109"/>
      <c r="Z81" s="109"/>
      <c r="AA81" s="109"/>
      <c r="AB81" s="109"/>
      <c r="AC81" s="109"/>
      <c r="AD81" s="109"/>
      <c r="AE81" s="109"/>
      <c r="AF81" s="109"/>
      <c r="AG81" s="109"/>
      <c r="AH81" s="109"/>
      <c r="AI81" s="109"/>
      <c r="AJ81" s="109"/>
      <c r="AK81" s="109"/>
      <c r="AL81" s="109"/>
      <c r="AM81" s="109"/>
      <c r="AN81" s="109"/>
      <c r="AO81" s="109"/>
      <c r="AP81" s="109"/>
      <c r="AQ81" s="109"/>
      <c r="AR81" s="109"/>
      <c r="AS81" s="109"/>
    </row>
    <row r="82" spans="1:45" ht="22.15" customHeight="1">
      <c r="A82" s="219"/>
      <c r="B82" s="219"/>
      <c r="C82" s="456"/>
      <c r="D82" s="219"/>
      <c r="E82" s="245">
        <v>77</v>
      </c>
      <c r="F82" s="246">
        <f t="shared" si="11"/>
        <v>1.077</v>
      </c>
      <c r="G82" s="247">
        <f t="shared" si="21"/>
        <v>18.652151184633226</v>
      </c>
      <c r="H82" s="248">
        <f t="shared" si="12"/>
        <v>10.366759517177343</v>
      </c>
      <c r="I82" s="248">
        <f t="shared" si="22"/>
        <v>18.650973646382113</v>
      </c>
      <c r="J82" s="247">
        <f t="shared" si="13"/>
        <v>15.861142061281335</v>
      </c>
      <c r="K82" s="247">
        <f t="shared" si="26"/>
        <v>16.812810584958214</v>
      </c>
      <c r="L82" s="249">
        <f t="shared" si="14"/>
        <v>76.999999999999957</v>
      </c>
      <c r="M82" s="247">
        <f t="shared" si="23"/>
        <v>18.652382069401028</v>
      </c>
      <c r="N82" s="250">
        <f t="shared" si="15"/>
        <v>200.87098617153535</v>
      </c>
      <c r="O82" s="251">
        <f t="shared" si="24"/>
        <v>12.061015838201079</v>
      </c>
      <c r="P82" s="251">
        <f t="shared" si="25"/>
        <v>13.70569981613759</v>
      </c>
      <c r="Q82" s="109"/>
      <c r="R82" s="109"/>
      <c r="S82" s="109"/>
      <c r="T82" s="109"/>
      <c r="U82" s="109"/>
      <c r="V82" s="109"/>
      <c r="W82" s="109"/>
      <c r="X82" s="109"/>
      <c r="Y82" s="109"/>
      <c r="Z82" s="109"/>
      <c r="AA82" s="109"/>
      <c r="AB82" s="109"/>
      <c r="AC82" s="109"/>
      <c r="AD82" s="109"/>
      <c r="AE82" s="109"/>
      <c r="AF82" s="109"/>
      <c r="AG82" s="109"/>
      <c r="AH82" s="109"/>
      <c r="AI82" s="109"/>
      <c r="AJ82" s="109"/>
      <c r="AK82" s="109"/>
      <c r="AL82" s="109"/>
      <c r="AM82" s="109"/>
      <c r="AN82" s="109"/>
      <c r="AO82" s="109"/>
      <c r="AP82" s="109"/>
      <c r="AQ82" s="109"/>
      <c r="AR82" s="109"/>
      <c r="AS82" s="109"/>
    </row>
    <row r="83" spans="1:45" ht="22.15" customHeight="1">
      <c r="A83" s="219"/>
      <c r="B83" s="219"/>
      <c r="C83" s="456"/>
      <c r="D83" s="219"/>
      <c r="E83" s="245">
        <v>78</v>
      </c>
      <c r="F83" s="246">
        <f t="shared" si="11"/>
        <v>1.0780000000000001</v>
      </c>
      <c r="G83" s="247">
        <f t="shared" si="21"/>
        <v>18.878847654175161</v>
      </c>
      <c r="H83" s="248">
        <f t="shared" si="12"/>
        <v>10.491651205936932</v>
      </c>
      <c r="I83" s="248">
        <f t="shared" si="22"/>
        <v>18.877851200208283</v>
      </c>
      <c r="J83" s="247">
        <f t="shared" si="13"/>
        <v>16.052226345083508</v>
      </c>
      <c r="K83" s="247">
        <f t="shared" si="26"/>
        <v>17.01535992578852</v>
      </c>
      <c r="L83" s="249">
        <f t="shared" si="14"/>
        <v>78.000000000000071</v>
      </c>
      <c r="M83" s="247">
        <f t="shared" si="23"/>
        <v>18.878966044343997</v>
      </c>
      <c r="N83" s="250">
        <f t="shared" si="15"/>
        <v>203.5032359382453</v>
      </c>
      <c r="O83" s="251">
        <f t="shared" si="24"/>
        <v>12.219065573165187</v>
      </c>
      <c r="P83" s="251">
        <f t="shared" si="25"/>
        <v>13.885301787687713</v>
      </c>
      <c r="Q83" s="109"/>
      <c r="R83" s="109"/>
      <c r="S83" s="109"/>
      <c r="T83" s="109"/>
      <c r="U83" s="109"/>
      <c r="V83" s="109"/>
      <c r="W83" s="109"/>
      <c r="X83" s="109"/>
      <c r="Y83" s="109"/>
      <c r="Z83" s="109"/>
      <c r="AA83" s="109"/>
      <c r="AB83" s="109"/>
      <c r="AC83" s="109"/>
      <c r="AD83" s="109"/>
      <c r="AE83" s="109"/>
      <c r="AF83" s="109"/>
      <c r="AG83" s="109"/>
      <c r="AH83" s="109"/>
      <c r="AI83" s="109"/>
      <c r="AJ83" s="109"/>
      <c r="AK83" s="109"/>
      <c r="AL83" s="109"/>
      <c r="AM83" s="109"/>
      <c r="AN83" s="109"/>
      <c r="AO83" s="109"/>
      <c r="AP83" s="109"/>
      <c r="AQ83" s="109"/>
      <c r="AR83" s="109"/>
      <c r="AS83" s="109"/>
    </row>
    <row r="84" spans="1:45" ht="22.15" customHeight="1">
      <c r="A84" s="219"/>
      <c r="B84" s="219"/>
      <c r="C84" s="456"/>
      <c r="D84" s="219"/>
      <c r="E84" s="245">
        <v>79</v>
      </c>
      <c r="F84" s="246">
        <f t="shared" si="11"/>
        <v>1.079</v>
      </c>
      <c r="G84" s="247">
        <f t="shared" si="21"/>
        <v>19.105172911443788</v>
      </c>
      <c r="H84" s="248">
        <f t="shared" si="12"/>
        <v>10.61631139944393</v>
      </c>
      <c r="I84" s="248">
        <f t="shared" si="22"/>
        <v>19.104357980906002</v>
      </c>
      <c r="J84" s="247">
        <f t="shared" si="13"/>
        <v>16.242956441149214</v>
      </c>
      <c r="K84" s="247">
        <f t="shared" si="26"/>
        <v>17.217533827618169</v>
      </c>
      <c r="L84" s="249">
        <f t="shared" si="14"/>
        <v>78.999999999999957</v>
      </c>
      <c r="M84" s="247">
        <f t="shared" si="23"/>
        <v>19.105169103882986</v>
      </c>
      <c r="N84" s="250">
        <f t="shared" si="15"/>
        <v>206.13602261397574</v>
      </c>
      <c r="O84" s="251">
        <f t="shared" si="24"/>
        <v>12.377147546076261</v>
      </c>
      <c r="P84" s="251">
        <f t="shared" si="25"/>
        <v>14.064940393268477</v>
      </c>
      <c r="Q84" s="109"/>
      <c r="R84" s="109"/>
      <c r="S84" s="109"/>
      <c r="T84" s="109"/>
      <c r="U84" s="109"/>
      <c r="V84" s="109"/>
      <c r="W84" s="109"/>
      <c r="X84" s="109"/>
      <c r="Y84" s="109"/>
      <c r="Z84" s="109"/>
      <c r="AA84" s="109"/>
      <c r="AB84" s="109"/>
      <c r="AC84" s="109"/>
      <c r="AD84" s="109"/>
      <c r="AE84" s="109"/>
      <c r="AF84" s="109"/>
      <c r="AG84" s="109"/>
      <c r="AH84" s="109"/>
      <c r="AI84" s="109"/>
      <c r="AJ84" s="109"/>
      <c r="AK84" s="109"/>
      <c r="AL84" s="109"/>
      <c r="AM84" s="109"/>
      <c r="AN84" s="109"/>
      <c r="AO84" s="109"/>
      <c r="AP84" s="109"/>
      <c r="AQ84" s="109"/>
      <c r="AR84" s="109"/>
      <c r="AS84" s="109"/>
    </row>
    <row r="85" spans="1:45" ht="22.15" customHeight="1">
      <c r="A85" s="219"/>
      <c r="B85" s="219"/>
      <c r="C85" s="456"/>
      <c r="D85" s="219"/>
      <c r="E85" s="245">
        <v>80</v>
      </c>
      <c r="F85" s="246">
        <f t="shared" si="11"/>
        <v>1.08</v>
      </c>
      <c r="G85" s="247">
        <f t="shared" si="21"/>
        <v>19.331128051200039</v>
      </c>
      <c r="H85" s="248">
        <f t="shared" si="12"/>
        <v>10.740740740740762</v>
      </c>
      <c r="I85" s="248">
        <f t="shared" si="22"/>
        <v>19.330494848000058</v>
      </c>
      <c r="J85" s="247">
        <f t="shared" si="13"/>
        <v>16.433333333333366</v>
      </c>
      <c r="K85" s="247">
        <f t="shared" si="26"/>
        <v>17.41933333333337</v>
      </c>
      <c r="L85" s="249">
        <f>+$L$2*(F85-1)</f>
        <v>80.000000000000071</v>
      </c>
      <c r="M85" s="247">
        <f t="shared" si="23"/>
        <v>19.330992064000043</v>
      </c>
      <c r="N85" s="250">
        <f t="shared" si="15"/>
        <v>208.76934435840064</v>
      </c>
      <c r="O85" s="251">
        <f t="shared" si="24"/>
        <v>12.535261646434519</v>
      </c>
      <c r="P85" s="251">
        <f t="shared" si="25"/>
        <v>14.244615507311952</v>
      </c>
      <c r="Q85" s="109"/>
      <c r="R85" s="109"/>
      <c r="S85" s="109"/>
      <c r="T85" s="109"/>
      <c r="U85" s="109"/>
      <c r="V85" s="109"/>
      <c r="W85" s="109"/>
      <c r="X85" s="109"/>
      <c r="Y85" s="109"/>
      <c r="Z85" s="109"/>
      <c r="AA85" s="109"/>
      <c r="AB85" s="109"/>
      <c r="AC85" s="109"/>
      <c r="AD85" s="109"/>
      <c r="AE85" s="109"/>
      <c r="AF85" s="109"/>
      <c r="AG85" s="109"/>
      <c r="AH85" s="109"/>
      <c r="AI85" s="109"/>
      <c r="AJ85" s="109"/>
      <c r="AK85" s="109"/>
      <c r="AL85" s="109"/>
      <c r="AM85" s="109"/>
      <c r="AN85" s="109"/>
      <c r="AO85" s="109"/>
      <c r="AP85" s="109"/>
      <c r="AQ85" s="109"/>
      <c r="AR85" s="109"/>
      <c r="AS85" s="109"/>
    </row>
    <row r="86" spans="1:45" ht="22.15" customHeight="1">
      <c r="A86" s="219"/>
      <c r="B86" s="219"/>
      <c r="C86" s="456"/>
      <c r="D86" s="219"/>
      <c r="E86" s="245">
        <v>81</v>
      </c>
      <c r="F86" s="246">
        <f t="shared" si="11"/>
        <v>1.081</v>
      </c>
      <c r="G86" s="247">
        <f t="shared" si="21"/>
        <v>19.556714168204053</v>
      </c>
      <c r="H86" s="248">
        <f t="shared" si="12"/>
        <v>10.864939870490275</v>
      </c>
      <c r="I86" s="248">
        <f t="shared" si="22"/>
        <v>19.556262661013875</v>
      </c>
      <c r="J86" s="247">
        <f t="shared" si="13"/>
        <v>16.623358001850121</v>
      </c>
      <c r="K86" s="247">
        <f t="shared" si="26"/>
        <v>17.62075948196113</v>
      </c>
      <c r="L86" s="249">
        <f t="shared" si="14"/>
        <v>80.999999999999957</v>
      </c>
      <c r="M86" s="247">
        <f t="shared" si="23"/>
        <v>19.556435740676989</v>
      </c>
      <c r="N86" s="250">
        <f t="shared" si="15"/>
        <v>211.40319936555997</v>
      </c>
      <c r="O86" s="251">
        <f t="shared" si="24"/>
        <v>12.693407765803627</v>
      </c>
      <c r="P86" s="251">
        <f t="shared" si="25"/>
        <v>14.42432700659503</v>
      </c>
      <c r="Q86" s="109"/>
      <c r="R86" s="109"/>
      <c r="S86" s="109"/>
      <c r="T86" s="109"/>
      <c r="U86" s="109"/>
      <c r="V86" s="109"/>
      <c r="W86" s="109"/>
      <c r="X86" s="109"/>
      <c r="Y86" s="109"/>
      <c r="Z86" s="109"/>
      <c r="AA86" s="109"/>
      <c r="AB86" s="109"/>
      <c r="AC86" s="109"/>
      <c r="AD86" s="109"/>
      <c r="AE86" s="109"/>
      <c r="AF86" s="109"/>
      <c r="AG86" s="109"/>
      <c r="AH86" s="109"/>
      <c r="AI86" s="109"/>
      <c r="AJ86" s="109"/>
      <c r="AK86" s="109"/>
      <c r="AL86" s="109"/>
      <c r="AM86" s="109"/>
      <c r="AN86" s="109"/>
      <c r="AO86" s="109"/>
      <c r="AP86" s="109"/>
      <c r="AQ86" s="109"/>
      <c r="AR86" s="109"/>
      <c r="AS86" s="109"/>
    </row>
    <row r="87" spans="1:45" ht="22.15" customHeight="1">
      <c r="A87" s="219"/>
      <c r="B87" s="219"/>
      <c r="C87" s="456"/>
      <c r="D87" s="219"/>
      <c r="E87" s="245">
        <v>82</v>
      </c>
      <c r="F87" s="246">
        <f t="shared" si="11"/>
        <v>1.0820000000000001</v>
      </c>
      <c r="G87" s="247">
        <f t="shared" si="21"/>
        <v>19.78193235721676</v>
      </c>
      <c r="H87" s="248">
        <f t="shared" si="12"/>
        <v>10.988909426987078</v>
      </c>
      <c r="I87" s="248">
        <f t="shared" si="22"/>
        <v>19.78166227947213</v>
      </c>
      <c r="J87" s="247">
        <f t="shared" si="13"/>
        <v>16.81303142329023</v>
      </c>
      <c r="K87" s="247">
        <f t="shared" si="26"/>
        <v>17.821813308687645</v>
      </c>
      <c r="L87" s="249">
        <f t="shared" si="14"/>
        <v>82.000000000000071</v>
      </c>
      <c r="M87" s="247">
        <f t="shared" si="23"/>
        <v>19.781500949895985</v>
      </c>
      <c r="N87" s="250">
        <f t="shared" si="15"/>
        <v>214.03758586388847</v>
      </c>
      <c r="O87" s="251">
        <f t="shared" si="24"/>
        <v>12.851585797812438</v>
      </c>
      <c r="P87" s="251">
        <f t="shared" si="25"/>
        <v>14.604074770241407</v>
      </c>
      <c r="Q87" s="109"/>
      <c r="R87" s="109"/>
      <c r="S87" s="109"/>
      <c r="T87" s="109"/>
      <c r="U87" s="109"/>
      <c r="V87" s="109"/>
      <c r="W87" s="109"/>
      <c r="X87" s="109"/>
      <c r="Y87" s="109"/>
      <c r="Z87" s="109"/>
      <c r="AA87" s="109"/>
      <c r="AB87" s="109"/>
      <c r="AC87" s="109"/>
      <c r="AD87" s="109"/>
      <c r="AE87" s="109"/>
      <c r="AF87" s="109"/>
      <c r="AG87" s="109"/>
      <c r="AH87" s="109"/>
      <c r="AI87" s="109"/>
      <c r="AJ87" s="109"/>
      <c r="AK87" s="109"/>
      <c r="AL87" s="109"/>
      <c r="AM87" s="109"/>
      <c r="AN87" s="109"/>
      <c r="AO87" s="109"/>
      <c r="AP87" s="109"/>
      <c r="AQ87" s="109"/>
      <c r="AR87" s="109"/>
      <c r="AS87" s="109"/>
    </row>
    <row r="88" spans="1:45" ht="22.15" customHeight="1">
      <c r="A88" s="219"/>
      <c r="B88" s="219"/>
      <c r="C88" s="456"/>
      <c r="D88" s="219"/>
      <c r="E88" s="245">
        <v>83</v>
      </c>
      <c r="F88" s="246">
        <f t="shared" si="11"/>
        <v>1.083</v>
      </c>
      <c r="G88" s="247">
        <f t="shared" si="21"/>
        <v>20.00678371299864</v>
      </c>
      <c r="H88" s="248">
        <f t="shared" si="12"/>
        <v>11.112650046168056</v>
      </c>
      <c r="I88" s="248">
        <f t="shared" si="22"/>
        <v>20.006694562898133</v>
      </c>
      <c r="J88" s="247">
        <f t="shared" si="13"/>
        <v>17.002354570637127</v>
      </c>
      <c r="K88" s="247">
        <f t="shared" si="26"/>
        <v>18.022495844875355</v>
      </c>
      <c r="L88" s="249">
        <f t="shared" si="14"/>
        <v>82.999999999999957</v>
      </c>
      <c r="M88" s="247">
        <f t="shared" si="23"/>
        <v>20.006188507638967</v>
      </c>
      <c r="N88" s="250">
        <f t="shared" si="15"/>
        <v>216.67250211618676</v>
      </c>
      <c r="O88" s="251">
        <f t="shared" si="24"/>
        <v>13.009795638153269</v>
      </c>
      <c r="P88" s="251">
        <f t="shared" si="25"/>
        <v>14.783858679719623</v>
      </c>
      <c r="Q88" s="109"/>
      <c r="R88" s="109"/>
      <c r="S88" s="109"/>
      <c r="T88" s="109"/>
      <c r="U88" s="109"/>
      <c r="V88" s="109"/>
      <c r="W88" s="109"/>
      <c r="X88" s="109"/>
      <c r="Y88" s="109"/>
      <c r="Z88" s="109"/>
      <c r="AA88" s="109"/>
      <c r="AB88" s="109"/>
      <c r="AC88" s="109"/>
      <c r="AD88" s="109"/>
      <c r="AE88" s="109"/>
      <c r="AF88" s="109"/>
      <c r="AG88" s="109"/>
      <c r="AH88" s="109"/>
      <c r="AI88" s="109"/>
      <c r="AJ88" s="109"/>
      <c r="AK88" s="109"/>
      <c r="AL88" s="109"/>
      <c r="AM88" s="109"/>
      <c r="AN88" s="109"/>
      <c r="AO88" s="109"/>
      <c r="AP88" s="109"/>
      <c r="AQ88" s="109"/>
      <c r="AR88" s="109"/>
      <c r="AS88" s="109"/>
    </row>
    <row r="89" spans="1:45" ht="22.15" customHeight="1">
      <c r="A89" s="219"/>
      <c r="B89" s="219"/>
      <c r="C89" s="456"/>
      <c r="D89" s="219"/>
      <c r="E89" s="245">
        <v>84</v>
      </c>
      <c r="F89" s="246">
        <f t="shared" si="11"/>
        <v>1.0840000000000001</v>
      </c>
      <c r="G89" s="247">
        <f t="shared" si="21"/>
        <v>20.231269330310397</v>
      </c>
      <c r="H89" s="248">
        <f t="shared" si="12"/>
        <v>11.236162361623627</v>
      </c>
      <c r="I89" s="248">
        <f t="shared" si="22"/>
        <v>20.231360370816105</v>
      </c>
      <c r="J89" s="247">
        <f t="shared" si="13"/>
        <v>17.19132841328415</v>
      </c>
      <c r="K89" s="247">
        <f t="shared" si="26"/>
        <v>18.2228081180812</v>
      </c>
      <c r="L89" s="249">
        <f t="shared" si="14"/>
        <v>84.000000000000071</v>
      </c>
      <c r="M89" s="247">
        <f t="shared" si="23"/>
        <v>20.230499229888096</v>
      </c>
      <c r="N89" s="250">
        <f t="shared" si="15"/>
        <v>219.30794641964658</v>
      </c>
      <c r="O89" s="251">
        <f t="shared" si="24"/>
        <v>13.16803718458338</v>
      </c>
      <c r="P89" s="251">
        <f t="shared" si="25"/>
        <v>14.963678618844749</v>
      </c>
      <c r="Q89" s="109"/>
      <c r="R89" s="109"/>
      <c r="S89" s="109"/>
      <c r="T89" s="109"/>
      <c r="U89" s="109"/>
      <c r="V89" s="109"/>
      <c r="W89" s="109"/>
      <c r="X89" s="109"/>
      <c r="Y89" s="109"/>
      <c r="Z89" s="109"/>
      <c r="AA89" s="109"/>
      <c r="AB89" s="109"/>
      <c r="AC89" s="109"/>
      <c r="AD89" s="109"/>
      <c r="AE89" s="109"/>
      <c r="AF89" s="109"/>
      <c r="AG89" s="109"/>
      <c r="AH89" s="109"/>
      <c r="AI89" s="109"/>
      <c r="AJ89" s="109"/>
      <c r="AK89" s="109"/>
      <c r="AL89" s="109"/>
      <c r="AM89" s="109"/>
      <c r="AN89" s="109"/>
      <c r="AO89" s="109"/>
      <c r="AP89" s="109"/>
      <c r="AQ89" s="109"/>
      <c r="AR89" s="109"/>
      <c r="AS89" s="109"/>
    </row>
    <row r="90" spans="1:45" ht="22.15" customHeight="1">
      <c r="A90" s="219"/>
      <c r="B90" s="219"/>
      <c r="C90" s="456"/>
      <c r="D90" s="219"/>
      <c r="E90" s="245">
        <v>85</v>
      </c>
      <c r="F90" s="246">
        <f t="shared" si="11"/>
        <v>1.085</v>
      </c>
      <c r="G90" s="247">
        <f t="shared" si="21"/>
        <v>20.455390303912509</v>
      </c>
      <c r="H90" s="248">
        <f t="shared" si="12"/>
        <v>11.359447004608285</v>
      </c>
      <c r="I90" s="248">
        <f t="shared" si="22"/>
        <v>20.45566056275004</v>
      </c>
      <c r="J90" s="247">
        <f t="shared" si="13"/>
        <v>17.379953917050678</v>
      </c>
      <c r="K90" s="247">
        <f t="shared" si="26"/>
        <v>18.422751152073719</v>
      </c>
      <c r="L90" s="249">
        <f t="shared" si="14"/>
        <v>84.999999999999972</v>
      </c>
      <c r="M90" s="247">
        <f t="shared" si="23"/>
        <v>20.454433932624966</v>
      </c>
      <c r="N90" s="250">
        <f t="shared" si="15"/>
        <v>221.94391710583793</v>
      </c>
      <c r="O90" s="251">
        <f t="shared" si="24"/>
        <v>13.326310336924246</v>
      </c>
      <c r="P90" s="251">
        <f t="shared" si="25"/>
        <v>15.143534473777553</v>
      </c>
      <c r="Q90" s="109"/>
      <c r="R90" s="109"/>
      <c r="S90" s="109"/>
      <c r="T90" s="109"/>
      <c r="U90" s="109"/>
      <c r="V90" s="109"/>
      <c r="W90" s="109"/>
      <c r="X90" s="109"/>
      <c r="Y90" s="109"/>
      <c r="Z90" s="109"/>
      <c r="AA90" s="109"/>
      <c r="AB90" s="109"/>
      <c r="AC90" s="109"/>
      <c r="AD90" s="109"/>
      <c r="AE90" s="109"/>
      <c r="AF90" s="109"/>
      <c r="AG90" s="109"/>
      <c r="AH90" s="109"/>
      <c r="AI90" s="109"/>
      <c r="AJ90" s="109"/>
      <c r="AK90" s="109"/>
      <c r="AL90" s="109"/>
      <c r="AM90" s="109"/>
      <c r="AN90" s="109"/>
      <c r="AO90" s="109"/>
      <c r="AP90" s="109"/>
      <c r="AQ90" s="109"/>
      <c r="AR90" s="109"/>
      <c r="AS90" s="109"/>
    </row>
    <row r="91" spans="1:45" ht="22.15" customHeight="1">
      <c r="A91" s="219"/>
      <c r="B91" s="219"/>
      <c r="C91" s="456"/>
      <c r="D91" s="219"/>
      <c r="E91" s="245">
        <v>86</v>
      </c>
      <c r="F91" s="246">
        <f t="shared" si="11"/>
        <v>1.0860000000000001</v>
      </c>
      <c r="G91" s="247">
        <f t="shared" si="21"/>
        <v>20.679147728565454</v>
      </c>
      <c r="H91" s="248">
        <f t="shared" si="12"/>
        <v>11.48250460405157</v>
      </c>
      <c r="I91" s="248">
        <f t="shared" si="22"/>
        <v>20.679595998224045</v>
      </c>
      <c r="J91" s="247">
        <f t="shared" si="13"/>
        <v>17.568232044198904</v>
      </c>
      <c r="K91" s="247">
        <f t="shared" si="26"/>
        <v>18.622325966850838</v>
      </c>
      <c r="L91" s="249">
        <f t="shared" si="14"/>
        <v>86.000000000000071</v>
      </c>
      <c r="M91" s="247">
        <f t="shared" si="23"/>
        <v>20.677993431832078</v>
      </c>
      <c r="N91" s="250">
        <f t="shared" si="15"/>
        <v>224.58041254071316</v>
      </c>
      <c r="O91" s="251">
        <f t="shared" si="24"/>
        <v>13.484614997061774</v>
      </c>
      <c r="P91" s="251">
        <f t="shared" si="25"/>
        <v>15.323426133024743</v>
      </c>
      <c r="Q91" s="109"/>
      <c r="R91" s="109"/>
      <c r="S91" s="109"/>
      <c r="T91" s="109"/>
      <c r="U91" s="109"/>
      <c r="V91" s="109"/>
      <c r="W91" s="109"/>
      <c r="X91" s="109"/>
      <c r="Y91" s="109"/>
      <c r="Z91" s="109"/>
      <c r="AA91" s="109"/>
      <c r="AB91" s="109"/>
      <c r="AC91" s="109"/>
      <c r="AD91" s="109"/>
      <c r="AE91" s="109"/>
      <c r="AF91" s="109"/>
      <c r="AG91" s="109"/>
      <c r="AH91" s="109"/>
      <c r="AI91" s="109"/>
      <c r="AJ91" s="109"/>
      <c r="AK91" s="109"/>
      <c r="AL91" s="109"/>
      <c r="AM91" s="109"/>
      <c r="AN91" s="109"/>
      <c r="AO91" s="109"/>
      <c r="AP91" s="109"/>
      <c r="AQ91" s="109"/>
      <c r="AR91" s="109"/>
      <c r="AS91" s="109"/>
    </row>
    <row r="92" spans="1:45" ht="22.15" customHeight="1">
      <c r="A92" s="219"/>
      <c r="B92" s="219"/>
      <c r="C92" s="456"/>
      <c r="D92" s="219"/>
      <c r="E92" s="245">
        <v>87</v>
      </c>
      <c r="F92" s="246">
        <f t="shared" si="11"/>
        <v>1.087</v>
      </c>
      <c r="G92" s="247">
        <f t="shared" si="21"/>
        <v>20.902542699030278</v>
      </c>
      <c r="H92" s="248">
        <f t="shared" si="12"/>
        <v>11.605335786568531</v>
      </c>
      <c r="I92" s="248">
        <f t="shared" si="22"/>
        <v>20.903167536762226</v>
      </c>
      <c r="J92" s="247">
        <f t="shared" si="13"/>
        <v>17.756163753449854</v>
      </c>
      <c r="K92" s="247">
        <f t="shared" si="26"/>
        <v>18.821533578656847</v>
      </c>
      <c r="L92" s="249">
        <f t="shared" si="14"/>
        <v>86.999999999999972</v>
      </c>
      <c r="M92" s="247">
        <f t="shared" si="23"/>
        <v>20.901178543491028</v>
      </c>
      <c r="N92" s="250">
        <f t="shared" si="15"/>
        <v>227.21743112460538</v>
      </c>
      <c r="O92" s="251">
        <f t="shared" si="24"/>
        <v>13.642951068946218</v>
      </c>
      <c r="P92" s="251">
        <f t="shared" si="25"/>
        <v>15.503353487438883</v>
      </c>
      <c r="Q92" s="109"/>
      <c r="R92" s="109"/>
      <c r="S92" s="109"/>
      <c r="T92" s="109"/>
      <c r="U92" s="109"/>
      <c r="V92" s="109"/>
      <c r="W92" s="109"/>
      <c r="X92" s="109"/>
      <c r="Y92" s="109"/>
      <c r="Z92" s="109"/>
      <c r="AA92" s="109"/>
      <c r="AB92" s="109"/>
      <c r="AC92" s="109"/>
      <c r="AD92" s="109"/>
      <c r="AE92" s="109"/>
      <c r="AF92" s="109"/>
      <c r="AG92" s="109"/>
      <c r="AH92" s="109"/>
      <c r="AI92" s="109"/>
      <c r="AJ92" s="109"/>
      <c r="AK92" s="109"/>
      <c r="AL92" s="109"/>
      <c r="AM92" s="109"/>
      <c r="AN92" s="109"/>
      <c r="AO92" s="109"/>
      <c r="AP92" s="109"/>
      <c r="AQ92" s="109"/>
      <c r="AR92" s="109"/>
      <c r="AS92" s="109"/>
    </row>
    <row r="93" spans="1:45" ht="22.15" customHeight="1">
      <c r="A93" s="219"/>
      <c r="B93" s="219"/>
      <c r="C93" s="456"/>
      <c r="D93" s="219"/>
      <c r="E93" s="245">
        <v>88</v>
      </c>
      <c r="F93" s="246">
        <f t="shared" si="11"/>
        <v>1.0880000000000001</v>
      </c>
      <c r="G93" s="247">
        <f t="shared" si="21"/>
        <v>21.125576310067117</v>
      </c>
      <c r="H93" s="248">
        <f t="shared" si="12"/>
        <v>11.727941176470608</v>
      </c>
      <c r="I93" s="248">
        <f t="shared" si="22"/>
        <v>21.126376037888122</v>
      </c>
      <c r="J93" s="247">
        <f t="shared" si="13"/>
        <v>17.94375000000003</v>
      </c>
      <c r="K93" s="247">
        <f t="shared" si="26"/>
        <v>19.020375000000033</v>
      </c>
      <c r="L93" s="249">
        <f t="shared" si="14"/>
        <v>88.000000000000085</v>
      </c>
      <c r="M93" s="247">
        <f t="shared" si="23"/>
        <v>21.123990083583976</v>
      </c>
      <c r="N93" s="250">
        <f t="shared" si="15"/>
        <v>229.85497129222279</v>
      </c>
      <c r="O93" s="251">
        <f t="shared" si="24"/>
        <v>13.801318458591824</v>
      </c>
      <c r="P93" s="251">
        <f t="shared" si="25"/>
        <v>15.683316430217982</v>
      </c>
      <c r="Q93" s="109"/>
      <c r="R93" s="109"/>
      <c r="S93" s="109"/>
      <c r="T93" s="109"/>
      <c r="U93" s="109"/>
      <c r="V93" s="109"/>
      <c r="W93" s="109"/>
      <c r="X93" s="109"/>
      <c r="Y93" s="109"/>
      <c r="Z93" s="109"/>
      <c r="AA93" s="109"/>
      <c r="AB93" s="109"/>
      <c r="AC93" s="109"/>
      <c r="AD93" s="109"/>
      <c r="AE93" s="109"/>
      <c r="AF93" s="109"/>
      <c r="AG93" s="109"/>
      <c r="AH93" s="109"/>
      <c r="AI93" s="109"/>
      <c r="AJ93" s="109"/>
      <c r="AK93" s="109"/>
      <c r="AL93" s="109"/>
      <c r="AM93" s="109"/>
      <c r="AN93" s="109"/>
      <c r="AO93" s="109"/>
      <c r="AP93" s="109"/>
      <c r="AQ93" s="109"/>
      <c r="AR93" s="109"/>
      <c r="AS93" s="109"/>
    </row>
    <row r="94" spans="1:45" ht="22.15" customHeight="1">
      <c r="A94" s="219"/>
      <c r="B94" s="219"/>
      <c r="C94" s="456"/>
      <c r="D94" s="219"/>
      <c r="E94" s="245">
        <v>89</v>
      </c>
      <c r="F94" s="246">
        <f t="shared" si="11"/>
        <v>1.089</v>
      </c>
      <c r="G94" s="247">
        <f t="shared" si="21"/>
        <v>21.348249656436792</v>
      </c>
      <c r="H94" s="248">
        <f t="shared" si="12"/>
        <v>11.85032139577595</v>
      </c>
      <c r="I94" s="248">
        <f t="shared" si="22"/>
        <v>21.349222361126067</v>
      </c>
      <c r="J94" s="247">
        <f t="shared" si="13"/>
        <v>18.130991735537204</v>
      </c>
      <c r="K94" s="247">
        <f t="shared" si="26"/>
        <v>19.218851239669437</v>
      </c>
      <c r="L94" s="249">
        <f t="shared" si="14"/>
        <v>88.999999999999972</v>
      </c>
      <c r="M94" s="247">
        <f t="shared" si="23"/>
        <v>21.346428868092971</v>
      </c>
      <c r="N94" s="250">
        <f t="shared" si="15"/>
        <v>232.49303151266287</v>
      </c>
      <c r="O94" s="251">
        <f t="shared" si="24"/>
        <v>13.959717074077711</v>
      </c>
      <c r="P94" s="251">
        <f t="shared" si="25"/>
        <v>15.86331485690649</v>
      </c>
      <c r="Q94" s="109"/>
      <c r="R94" s="109"/>
      <c r="S94" s="109"/>
      <c r="T94" s="109"/>
      <c r="U94" s="109"/>
      <c r="V94" s="109"/>
      <c r="W94" s="109"/>
      <c r="X94" s="109"/>
      <c r="Y94" s="109"/>
      <c r="Z94" s="109"/>
      <c r="AA94" s="109"/>
      <c r="AB94" s="109"/>
      <c r="AC94" s="109"/>
      <c r="AD94" s="109"/>
      <c r="AE94" s="109"/>
      <c r="AF94" s="109"/>
      <c r="AG94" s="109"/>
      <c r="AH94" s="109"/>
      <c r="AI94" s="109"/>
      <c r="AJ94" s="109"/>
      <c r="AK94" s="109"/>
      <c r="AL94" s="109"/>
      <c r="AM94" s="109"/>
      <c r="AN94" s="109"/>
      <c r="AO94" s="109"/>
      <c r="AP94" s="109"/>
      <c r="AQ94" s="109"/>
      <c r="AR94" s="109"/>
      <c r="AS94" s="109"/>
    </row>
    <row r="95" spans="1:45" ht="22.15" customHeight="1">
      <c r="A95" s="219"/>
      <c r="B95" s="219"/>
      <c r="C95" s="456"/>
      <c r="D95" s="219"/>
      <c r="E95" s="245">
        <v>90</v>
      </c>
      <c r="F95" s="246">
        <f t="shared" si="11"/>
        <v>1.0900000000000001</v>
      </c>
      <c r="G95" s="247">
        <f t="shared" si="21"/>
        <v>21.570563832900007</v>
      </c>
      <c r="H95" s="248">
        <f t="shared" si="12"/>
        <v>11.972477064220186</v>
      </c>
      <c r="I95" s="248">
        <f t="shared" si="22"/>
        <v>21.571707366000169</v>
      </c>
      <c r="J95" s="247">
        <f t="shared" si="13"/>
        <v>18.317889908256884</v>
      </c>
      <c r="K95" s="247">
        <f t="shared" si="26"/>
        <v>19.416963302752297</v>
      </c>
      <c r="L95" s="249">
        <f t="shared" si="14"/>
        <v>90.000000000000085</v>
      </c>
      <c r="M95" s="247">
        <f t="shared" si="23"/>
        <v>21.568495713000061</v>
      </c>
      <c r="N95" s="250">
        <f t="shared" si="15"/>
        <v>235.13161028940186</v>
      </c>
      <c r="O95" s="251">
        <f t="shared" si="24"/>
        <v>14.118146825547214</v>
      </c>
      <c r="P95" s="251">
        <f t="shared" si="25"/>
        <v>16.043348665394561</v>
      </c>
      <c r="Q95" s="109"/>
      <c r="R95" s="109"/>
      <c r="S95" s="109"/>
      <c r="T95" s="109"/>
      <c r="U95" s="109"/>
      <c r="V95" s="109"/>
      <c r="W95" s="109"/>
      <c r="X95" s="109"/>
      <c r="Y95" s="109"/>
      <c r="Z95" s="109"/>
      <c r="AA95" s="109"/>
      <c r="AB95" s="109"/>
      <c r="AC95" s="109"/>
      <c r="AD95" s="109"/>
      <c r="AE95" s="109"/>
      <c r="AF95" s="109"/>
      <c r="AG95" s="109"/>
      <c r="AH95" s="109"/>
      <c r="AI95" s="109"/>
      <c r="AJ95" s="109"/>
      <c r="AK95" s="109"/>
      <c r="AL95" s="109"/>
      <c r="AM95" s="109"/>
      <c r="AN95" s="109"/>
      <c r="AO95" s="109"/>
      <c r="AP95" s="109"/>
      <c r="AQ95" s="109"/>
      <c r="AR95" s="109"/>
      <c r="AS95" s="109"/>
    </row>
    <row r="96" spans="1:45" ht="22.15" customHeight="1">
      <c r="A96" s="219"/>
      <c r="B96" s="219"/>
      <c r="C96" s="456"/>
      <c r="D96" s="219"/>
      <c r="E96" s="245">
        <v>91</v>
      </c>
      <c r="F96" s="246">
        <f t="shared" si="11"/>
        <v>1.091</v>
      </c>
      <c r="G96" s="247">
        <f t="shared" si="21"/>
        <v>21.792519934217012</v>
      </c>
      <c r="H96" s="248">
        <f t="shared" si="12"/>
        <v>12.094408799266716</v>
      </c>
      <c r="I96" s="248">
        <f t="shared" si="22"/>
        <v>21.793831912034079</v>
      </c>
      <c r="J96" s="247">
        <f t="shared" si="13"/>
        <v>18.504445462878078</v>
      </c>
      <c r="K96" s="247">
        <f t="shared" si="26"/>
        <v>19.614712190650764</v>
      </c>
      <c r="L96" s="249">
        <f t="shared" si="14"/>
        <v>90.999999999999972</v>
      </c>
      <c r="M96" s="247">
        <f t="shared" si="23"/>
        <v>21.790191434286953</v>
      </c>
      <c r="N96" s="250">
        <f t="shared" si="15"/>
        <v>237.77070616029181</v>
      </c>
      <c r="O96" s="251">
        <f t="shared" si="24"/>
        <v>14.276607625207715</v>
      </c>
      <c r="P96" s="251">
        <f t="shared" si="25"/>
        <v>16.223417755917858</v>
      </c>
      <c r="Q96" s="109"/>
      <c r="R96" s="109"/>
      <c r="S96" s="109"/>
      <c r="T96" s="109"/>
      <c r="U96" s="109"/>
      <c r="V96" s="109"/>
      <c r="W96" s="109"/>
      <c r="X96" s="109"/>
      <c r="Y96" s="109"/>
      <c r="Z96" s="109"/>
      <c r="AA96" s="109"/>
      <c r="AB96" s="109"/>
      <c r="AC96" s="109"/>
      <c r="AD96" s="109"/>
      <c r="AE96" s="109"/>
      <c r="AF96" s="109"/>
      <c r="AG96" s="109"/>
      <c r="AH96" s="109"/>
      <c r="AI96" s="109"/>
      <c r="AJ96" s="109"/>
      <c r="AK96" s="109"/>
      <c r="AL96" s="109"/>
      <c r="AM96" s="109"/>
      <c r="AN96" s="109"/>
      <c r="AO96" s="109"/>
      <c r="AP96" s="109"/>
      <c r="AQ96" s="109"/>
      <c r="AR96" s="109"/>
      <c r="AS96" s="109"/>
    </row>
    <row r="97" spans="1:45" ht="22.15" customHeight="1">
      <c r="A97" s="219"/>
      <c r="B97" s="219"/>
      <c r="C97" s="456"/>
      <c r="D97" s="219"/>
      <c r="E97" s="245">
        <v>92</v>
      </c>
      <c r="F97" s="246">
        <f t="shared" si="11"/>
        <v>1.0920000000000001</v>
      </c>
      <c r="G97" s="247">
        <f t="shared" si="21"/>
        <v>22.014119055148626</v>
      </c>
      <c r="H97" s="248">
        <f t="shared" si="12"/>
        <v>12.216117216117226</v>
      </c>
      <c r="I97" s="248">
        <f t="shared" si="22"/>
        <v>22.015596858752247</v>
      </c>
      <c r="J97" s="247">
        <f t="shared" si="13"/>
        <v>18.690659340659355</v>
      </c>
      <c r="K97" s="247">
        <f t="shared" si="26"/>
        <v>19.812098901098917</v>
      </c>
      <c r="L97" s="249">
        <f t="shared" si="14"/>
        <v>92.000000000000085</v>
      </c>
      <c r="M97" s="247">
        <f t="shared" si="23"/>
        <v>22.011516847936036</v>
      </c>
      <c r="N97" s="250">
        <f t="shared" si="15"/>
        <v>240.41031769757456</v>
      </c>
      <c r="O97" s="251">
        <f t="shared" si="24"/>
        <v>14.435099387331483</v>
      </c>
      <c r="P97" s="251">
        <f t="shared" si="25"/>
        <v>16.403522031058504</v>
      </c>
      <c r="Q97" s="109"/>
      <c r="R97" s="109"/>
      <c r="S97" s="109"/>
      <c r="T97" s="109"/>
      <c r="U97" s="109"/>
      <c r="V97" s="109"/>
      <c r="W97" s="109"/>
      <c r="X97" s="109"/>
      <c r="Y97" s="109"/>
      <c r="Z97" s="109"/>
      <c r="AA97" s="109"/>
      <c r="AB97" s="109"/>
      <c r="AC97" s="109"/>
      <c r="AD97" s="109"/>
      <c r="AE97" s="109"/>
      <c r="AF97" s="109"/>
      <c r="AG97" s="109"/>
      <c r="AH97" s="109"/>
      <c r="AI97" s="109"/>
      <c r="AJ97" s="109"/>
      <c r="AK97" s="109"/>
      <c r="AL97" s="109"/>
      <c r="AM97" s="109"/>
      <c r="AN97" s="109"/>
      <c r="AO97" s="109"/>
      <c r="AP97" s="109"/>
      <c r="AQ97" s="109"/>
      <c r="AR97" s="109"/>
      <c r="AS97" s="109"/>
    </row>
    <row r="98" spans="1:45" ht="22.15" customHeight="1">
      <c r="A98" s="219"/>
      <c r="B98" s="219"/>
      <c r="C98" s="456"/>
      <c r="D98" s="219"/>
      <c r="E98" s="245">
        <v>93</v>
      </c>
      <c r="F98" s="246">
        <f t="shared" si="11"/>
        <v>1.093</v>
      </c>
      <c r="G98" s="247">
        <f t="shared" si="21"/>
        <v>22.235362290455669</v>
      </c>
      <c r="H98" s="248">
        <f t="shared" si="12"/>
        <v>12.337602927721861</v>
      </c>
      <c r="I98" s="248">
        <f t="shared" si="22"/>
        <v>22.237003065678209</v>
      </c>
      <c r="J98" s="247">
        <f t="shared" si="13"/>
        <v>18.876532479414447</v>
      </c>
      <c r="K98" s="247">
        <f t="shared" si="26"/>
        <v>20.009124428179316</v>
      </c>
      <c r="L98" s="249">
        <f t="shared" si="14"/>
        <v>92.999999999999972</v>
      </c>
      <c r="M98" s="247">
        <f t="shared" si="23"/>
        <v>22.232472769929018</v>
      </c>
      <c r="N98" s="250">
        <f t="shared" si="15"/>
        <v>243.05044350786281</v>
      </c>
      <c r="O98" s="251">
        <f t="shared" si="24"/>
        <v>14.593622028254535</v>
      </c>
      <c r="P98" s="251">
        <f t="shared" si="25"/>
        <v>16.583661395743789</v>
      </c>
      <c r="Q98" s="109"/>
      <c r="R98" s="109"/>
      <c r="S98" s="109"/>
      <c r="T98" s="109"/>
      <c r="U98" s="109"/>
      <c r="V98" s="109"/>
      <c r="W98" s="109"/>
      <c r="X98" s="109"/>
      <c r="Y98" s="109"/>
      <c r="Z98" s="109"/>
      <c r="AA98" s="109"/>
      <c r="AB98" s="109"/>
      <c r="AC98" s="109"/>
      <c r="AD98" s="109"/>
      <c r="AE98" s="109"/>
      <c r="AF98" s="109"/>
      <c r="AG98" s="109"/>
      <c r="AH98" s="109"/>
      <c r="AI98" s="109"/>
      <c r="AJ98" s="109"/>
      <c r="AK98" s="109"/>
      <c r="AL98" s="109"/>
      <c r="AM98" s="109"/>
      <c r="AN98" s="109"/>
      <c r="AO98" s="109"/>
      <c r="AP98" s="109"/>
      <c r="AQ98" s="109"/>
      <c r="AR98" s="109"/>
      <c r="AS98" s="109"/>
    </row>
    <row r="99" spans="1:45" ht="22.15" customHeight="1">
      <c r="A99" s="219"/>
      <c r="B99" s="219"/>
      <c r="C99" s="456"/>
      <c r="D99" s="219"/>
      <c r="E99" s="245">
        <v>94</v>
      </c>
      <c r="F99" s="246">
        <f t="shared" si="11"/>
        <v>1.0940000000000001</v>
      </c>
      <c r="G99" s="247">
        <f t="shared" si="21"/>
        <v>22.45625073489839</v>
      </c>
      <c r="H99" s="248">
        <f t="shared" si="12"/>
        <v>12.458866544789771</v>
      </c>
      <c r="I99" s="248">
        <f t="shared" si="22"/>
        <v>22.458051392336074</v>
      </c>
      <c r="J99" s="247">
        <f t="shared" si="13"/>
        <v>19.062065813528349</v>
      </c>
      <c r="K99" s="247">
        <f t="shared" si="26"/>
        <v>20.20578976234005</v>
      </c>
      <c r="L99" s="249">
        <f t="shared" si="14"/>
        <v>94.000000000000085</v>
      </c>
      <c r="M99" s="247">
        <f t="shared" si="23"/>
        <v>22.45306001624806</v>
      </c>
      <c r="N99" s="250">
        <f t="shared" si="15"/>
        <v>245.69108223215667</v>
      </c>
      <c r="O99" s="251">
        <f t="shared" si="24"/>
        <v>14.75217546637764</v>
      </c>
      <c r="P99" s="251">
        <f t="shared" si="25"/>
        <v>16.763835757247318</v>
      </c>
      <c r="Q99" s="109"/>
      <c r="R99" s="109"/>
      <c r="S99" s="109"/>
      <c r="T99" s="109"/>
      <c r="U99" s="109"/>
      <c r="V99" s="109"/>
      <c r="W99" s="109"/>
      <c r="X99" s="109"/>
      <c r="Y99" s="109"/>
      <c r="Z99" s="109"/>
      <c r="AA99" s="109"/>
      <c r="AB99" s="109"/>
      <c r="AC99" s="109"/>
      <c r="AD99" s="109"/>
      <c r="AE99" s="109"/>
      <c r="AF99" s="109"/>
      <c r="AG99" s="109"/>
      <c r="AH99" s="109"/>
      <c r="AI99" s="109"/>
      <c r="AJ99" s="109"/>
      <c r="AK99" s="109"/>
      <c r="AL99" s="109"/>
      <c r="AM99" s="109"/>
      <c r="AN99" s="109"/>
      <c r="AO99" s="109"/>
      <c r="AP99" s="109"/>
      <c r="AQ99" s="109"/>
      <c r="AR99" s="109"/>
      <c r="AS99" s="109"/>
    </row>
    <row r="100" spans="1:45" ht="22.15" customHeight="1">
      <c r="A100" s="219"/>
      <c r="B100" s="219"/>
      <c r="C100" s="456"/>
      <c r="D100" s="219"/>
      <c r="E100" s="245">
        <v>95</v>
      </c>
      <c r="F100" s="246">
        <f t="shared" ref="F100:F155" si="27">(E100+1000)/1000</f>
        <v>1.095</v>
      </c>
      <c r="G100" s="247">
        <f t="shared" si="21"/>
        <v>22.676785483237268</v>
      </c>
      <c r="H100" s="248">
        <f t="shared" ref="H100:H152" si="28">+$H$2-($H$2/F100)</f>
        <v>12.579908675799089</v>
      </c>
      <c r="I100" s="248">
        <f t="shared" si="22"/>
        <v>22.678742698250176</v>
      </c>
      <c r="J100" s="247">
        <f t="shared" ref="J100:J152" si="29">+H100*$J$2</f>
        <v>19.247260273972607</v>
      </c>
      <c r="K100" s="247">
        <f t="shared" si="26"/>
        <v>20.402095890410965</v>
      </c>
      <c r="L100" s="249">
        <f t="shared" ref="L100:L152" si="30">+$L$2*(F100-1)</f>
        <v>94.999999999999972</v>
      </c>
      <c r="M100" s="247">
        <f t="shared" si="23"/>
        <v>22.673279402874982</v>
      </c>
      <c r="N100" s="250">
        <f t="shared" ref="N100:N152" si="31">F100*(I100*10)</f>
        <v>248.33223254583942</v>
      </c>
      <c r="O100" s="251">
        <f t="shared" si="24"/>
        <v>14.91075962216604</v>
      </c>
      <c r="P100" s="251">
        <f t="shared" si="25"/>
        <v>16.944045025188682</v>
      </c>
      <c r="Q100" s="109"/>
      <c r="R100" s="109"/>
      <c r="S100" s="109"/>
      <c r="T100" s="109"/>
      <c r="U100" s="109"/>
      <c r="V100" s="109"/>
      <c r="W100" s="109"/>
      <c r="X100" s="109"/>
      <c r="Y100" s="109"/>
      <c r="Z100" s="109"/>
      <c r="AA100" s="109"/>
      <c r="AB100" s="109"/>
      <c r="AC100" s="109"/>
      <c r="AD100" s="109"/>
      <c r="AE100" s="109"/>
      <c r="AF100" s="109"/>
      <c r="AG100" s="109"/>
      <c r="AH100" s="109"/>
      <c r="AI100" s="109"/>
      <c r="AJ100" s="109"/>
      <c r="AK100" s="109"/>
      <c r="AL100" s="109"/>
      <c r="AM100" s="109"/>
      <c r="AN100" s="109"/>
      <c r="AO100" s="109"/>
      <c r="AP100" s="109"/>
      <c r="AQ100" s="109"/>
      <c r="AR100" s="109"/>
      <c r="AS100" s="109"/>
    </row>
    <row r="101" spans="1:45" ht="22.15" customHeight="1">
      <c r="A101" s="219"/>
      <c r="B101" s="219"/>
      <c r="C101" s="456"/>
      <c r="D101" s="219"/>
      <c r="E101" s="245">
        <v>96</v>
      </c>
      <c r="F101" s="246">
        <f t="shared" si="27"/>
        <v>1.0960000000000001</v>
      </c>
      <c r="G101" s="247">
        <f t="shared" ref="G101:G132" si="32">+((($Z$18*F101-$Z$19)*F101+$Z$20)*F101-$Z$21)</f>
        <v>22.896967630233576</v>
      </c>
      <c r="H101" s="248">
        <f t="shared" si="28"/>
        <v>12.700729927007302</v>
      </c>
      <c r="I101" s="248">
        <f t="shared" ref="I101:I132" si="33">($Z$11*F101^3)-($Z$12*F101^2)+($Z$13*F101)-$Z$14</f>
        <v>22.899077842944166</v>
      </c>
      <c r="J101" s="247">
        <f t="shared" si="29"/>
        <v>19.432116788321171</v>
      </c>
      <c r="K101" s="247">
        <f t="shared" si="26"/>
        <v>20.598043795620441</v>
      </c>
      <c r="L101" s="249">
        <f t="shared" si="30"/>
        <v>96.000000000000085</v>
      </c>
      <c r="M101" s="247">
        <f t="shared" ref="M101:M132" si="34">+((($Z$22*F101-$Z$23)*F101+$Z$24)*F101-$Z$25)</f>
        <v>22.893131745792061</v>
      </c>
      <c r="N101" s="250">
        <f t="shared" si="31"/>
        <v>250.97389315866809</v>
      </c>
      <c r="O101" s="251">
        <f t="shared" ref="O101:O132" si="35">+P101*$Z$31</f>
        <v>15.069374418148923</v>
      </c>
      <c r="P101" s="251">
        <f t="shared" ref="P101:P132" si="36">+(((N101/$Z$26)*$Z$27)/$Z$28)/$Z$29</f>
        <v>17.124289111532867</v>
      </c>
      <c r="Q101" s="109"/>
      <c r="R101" s="109"/>
      <c r="S101" s="109"/>
      <c r="T101" s="109"/>
      <c r="U101" s="109"/>
      <c r="V101" s="109"/>
      <c r="W101" s="109"/>
      <c r="X101" s="109"/>
      <c r="Y101" s="109"/>
      <c r="Z101" s="109"/>
      <c r="AA101" s="109"/>
      <c r="AB101" s="109"/>
      <c r="AC101" s="109"/>
      <c r="AD101" s="109"/>
      <c r="AE101" s="109"/>
      <c r="AF101" s="109"/>
      <c r="AG101" s="109"/>
      <c r="AH101" s="109"/>
      <c r="AI101" s="109"/>
      <c r="AJ101" s="109"/>
      <c r="AK101" s="109"/>
      <c r="AL101" s="109"/>
      <c r="AM101" s="109"/>
      <c r="AN101" s="109"/>
      <c r="AO101" s="109"/>
      <c r="AP101" s="109"/>
      <c r="AQ101" s="109"/>
      <c r="AR101" s="109"/>
      <c r="AS101" s="109"/>
    </row>
    <row r="102" spans="1:45" ht="22.15" customHeight="1">
      <c r="A102" s="219"/>
      <c r="B102" s="219"/>
      <c r="C102" s="456"/>
      <c r="D102" s="219"/>
      <c r="E102" s="245">
        <v>97</v>
      </c>
      <c r="F102" s="246">
        <f t="shared" si="27"/>
        <v>1.097</v>
      </c>
      <c r="G102" s="247">
        <f t="shared" si="32"/>
        <v>23.116798270647109</v>
      </c>
      <c r="H102" s="248">
        <f t="shared" si="28"/>
        <v>12.821330902461256</v>
      </c>
      <c r="I102" s="248">
        <f t="shared" si="33"/>
        <v>23.119057685942039</v>
      </c>
      <c r="J102" s="247">
        <f t="shared" si="29"/>
        <v>19.616636280765722</v>
      </c>
      <c r="K102" s="247">
        <f t="shared" si="26"/>
        <v>20.793634457611667</v>
      </c>
      <c r="L102" s="249">
        <f t="shared" si="30"/>
        <v>96.999999999999972</v>
      </c>
      <c r="M102" s="247">
        <f t="shared" si="34"/>
        <v>23.112617860981004</v>
      </c>
      <c r="N102" s="250">
        <f t="shared" si="31"/>
        <v>253.61606281478416</v>
      </c>
      <c r="O102" s="251">
        <f t="shared" si="35"/>
        <v>15.228019778920029</v>
      </c>
      <c r="P102" s="251">
        <f t="shared" si="36"/>
        <v>17.304567930590942</v>
      </c>
      <c r="Q102" s="109"/>
      <c r="R102" s="109"/>
      <c r="S102" s="109"/>
      <c r="T102" s="109"/>
      <c r="U102" s="109"/>
      <c r="V102" s="109"/>
      <c r="W102" s="109"/>
      <c r="X102" s="109"/>
      <c r="Y102" s="109"/>
      <c r="Z102" s="109"/>
      <c r="AA102" s="109"/>
      <c r="AB102" s="109"/>
      <c r="AC102" s="109"/>
      <c r="AD102" s="109"/>
      <c r="AE102" s="109"/>
      <c r="AF102" s="109"/>
      <c r="AG102" s="109"/>
      <c r="AH102" s="109"/>
      <c r="AI102" s="109"/>
      <c r="AJ102" s="109"/>
      <c r="AK102" s="109"/>
      <c r="AL102" s="109"/>
      <c r="AM102" s="109"/>
      <c r="AN102" s="109"/>
      <c r="AO102" s="109"/>
      <c r="AP102" s="109"/>
      <c r="AQ102" s="109"/>
      <c r="AR102" s="109"/>
      <c r="AS102" s="109"/>
    </row>
    <row r="103" spans="1:45" ht="22.15" customHeight="1">
      <c r="A103" s="219"/>
      <c r="B103" s="219"/>
      <c r="C103" s="456"/>
      <c r="D103" s="219"/>
      <c r="E103" s="245">
        <v>98</v>
      </c>
      <c r="F103" s="246">
        <f t="shared" si="27"/>
        <v>1.0980000000000001</v>
      </c>
      <c r="G103" s="247">
        <f t="shared" si="32"/>
        <v>23.336278499239256</v>
      </c>
      <c r="H103" s="248">
        <f t="shared" si="28"/>
        <v>12.941712204007302</v>
      </c>
      <c r="I103" s="248">
        <f t="shared" si="33"/>
        <v>23.338683086768015</v>
      </c>
      <c r="J103" s="247">
        <f t="shared" si="29"/>
        <v>19.800819672131173</v>
      </c>
      <c r="K103" s="247">
        <f t="shared" si="26"/>
        <v>20.988868852459046</v>
      </c>
      <c r="L103" s="249">
        <f t="shared" si="30"/>
        <v>98.000000000000085</v>
      </c>
      <c r="M103" s="247">
        <f t="shared" si="34"/>
        <v>23.331738564423972</v>
      </c>
      <c r="N103" s="250">
        <f t="shared" si="31"/>
        <v>256.25874029271284</v>
      </c>
      <c r="O103" s="251">
        <f t="shared" si="35"/>
        <v>15.386695631137613</v>
      </c>
      <c r="P103" s="251">
        <f t="shared" si="36"/>
        <v>17.484881399020015</v>
      </c>
      <c r="Q103" s="109"/>
      <c r="R103" s="109"/>
      <c r="S103" s="109"/>
      <c r="T103" s="109"/>
      <c r="U103" s="109"/>
      <c r="V103" s="109"/>
      <c r="W103" s="109"/>
      <c r="X103" s="109"/>
      <c r="Y103" s="109"/>
      <c r="Z103" s="109"/>
      <c r="AA103" s="109"/>
      <c r="AB103" s="109"/>
      <c r="AC103" s="109"/>
      <c r="AD103" s="109"/>
      <c r="AE103" s="109"/>
      <c r="AF103" s="109"/>
      <c r="AG103" s="109"/>
      <c r="AH103" s="109"/>
      <c r="AI103" s="109"/>
      <c r="AJ103" s="109"/>
      <c r="AK103" s="109"/>
      <c r="AL103" s="109"/>
      <c r="AM103" s="109"/>
      <c r="AN103" s="109"/>
      <c r="AO103" s="109"/>
      <c r="AP103" s="109"/>
      <c r="AQ103" s="109"/>
      <c r="AR103" s="109"/>
      <c r="AS103" s="109"/>
    </row>
    <row r="104" spans="1:45" ht="22.15" customHeight="1">
      <c r="A104" s="219"/>
      <c r="B104" s="219"/>
      <c r="C104" s="456"/>
      <c r="D104" s="219"/>
      <c r="E104" s="245">
        <v>99</v>
      </c>
      <c r="F104" s="246">
        <f t="shared" si="27"/>
        <v>1.099</v>
      </c>
      <c r="G104" s="247">
        <f t="shared" si="32"/>
        <v>23.555409410769812</v>
      </c>
      <c r="H104" s="248">
        <f t="shared" si="28"/>
        <v>13.061874431301192</v>
      </c>
      <c r="I104" s="248">
        <f t="shared" si="33"/>
        <v>23.557954904946087</v>
      </c>
      <c r="J104" s="247">
        <f t="shared" si="29"/>
        <v>19.984667879890825</v>
      </c>
      <c r="K104" s="247">
        <f t="shared" si="26"/>
        <v>21.183747952684275</v>
      </c>
      <c r="L104" s="249">
        <f t="shared" si="30"/>
        <v>98.999999999999972</v>
      </c>
      <c r="M104" s="247">
        <f t="shared" si="34"/>
        <v>23.550494672103014</v>
      </c>
      <c r="N104" s="250">
        <f t="shared" si="31"/>
        <v>258.90192440535748</v>
      </c>
      <c r="O104" s="251">
        <f t="shared" si="35"/>
        <v>15.545401903524132</v>
      </c>
      <c r="P104" s="251">
        <f t="shared" si="36"/>
        <v>17.665229435822877</v>
      </c>
      <c r="Q104" s="109"/>
      <c r="R104" s="109"/>
      <c r="S104" s="109"/>
      <c r="T104" s="109"/>
      <c r="U104" s="109"/>
      <c r="V104" s="109"/>
      <c r="W104" s="109"/>
      <c r="X104" s="109"/>
      <c r="Y104" s="109"/>
      <c r="Z104" s="109"/>
      <c r="AA104" s="109"/>
      <c r="AB104" s="109"/>
      <c r="AC104" s="109"/>
      <c r="AD104" s="109"/>
      <c r="AE104" s="109"/>
      <c r="AF104" s="109"/>
      <c r="AG104" s="109"/>
      <c r="AH104" s="109"/>
      <c r="AI104" s="109"/>
      <c r="AJ104" s="109"/>
      <c r="AK104" s="109"/>
      <c r="AL104" s="109"/>
      <c r="AM104" s="109"/>
      <c r="AN104" s="109"/>
      <c r="AO104" s="109"/>
      <c r="AP104" s="109"/>
      <c r="AQ104" s="109"/>
      <c r="AR104" s="109"/>
      <c r="AS104" s="109"/>
    </row>
    <row r="105" spans="1:45" ht="22.15" customHeight="1">
      <c r="A105" s="252"/>
      <c r="B105" s="252"/>
      <c r="C105" s="456"/>
      <c r="D105" s="252"/>
      <c r="E105" s="245">
        <v>100</v>
      </c>
      <c r="F105" s="246">
        <f t="shared" si="27"/>
        <v>1.1000000000000001</v>
      </c>
      <c r="G105" s="247">
        <f t="shared" si="32"/>
        <v>23.77419210000005</v>
      </c>
      <c r="H105" s="248">
        <f t="shared" si="28"/>
        <v>13.181818181818187</v>
      </c>
      <c r="I105" s="248">
        <f t="shared" si="33"/>
        <v>23.776874000000021</v>
      </c>
      <c r="J105" s="247">
        <f>+H105*$J$2</f>
        <v>20.168181818181825</v>
      </c>
      <c r="K105" s="247">
        <f t="shared" si="26"/>
        <v>21.378272727272737</v>
      </c>
      <c r="L105" s="249">
        <f t="shared" si="30"/>
        <v>100.00000000000009</v>
      </c>
      <c r="M105" s="247">
        <f t="shared" si="34"/>
        <v>23.768887000000063</v>
      </c>
      <c r="N105" s="250">
        <f t="shared" si="31"/>
        <v>261.54561400000023</v>
      </c>
      <c r="O105" s="247">
        <f t="shared" si="35"/>
        <v>15.704138526866263</v>
      </c>
      <c r="P105" s="247">
        <f t="shared" si="36"/>
        <v>17.845611962348027</v>
      </c>
      <c r="Q105" s="109"/>
      <c r="R105" s="109"/>
      <c r="S105" s="109"/>
      <c r="T105" s="109"/>
      <c r="U105" s="109"/>
      <c r="V105" s="109"/>
      <c r="W105" s="109"/>
      <c r="X105" s="109"/>
      <c r="Y105" s="109"/>
      <c r="Z105" s="109"/>
      <c r="AA105" s="109"/>
      <c r="AB105" s="109"/>
      <c r="AC105" s="109"/>
      <c r="AD105" s="109"/>
      <c r="AE105" s="109"/>
      <c r="AF105" s="109"/>
      <c r="AG105" s="109"/>
      <c r="AH105" s="109"/>
      <c r="AI105" s="109"/>
      <c r="AJ105" s="109"/>
      <c r="AK105" s="109"/>
      <c r="AL105" s="109"/>
      <c r="AM105" s="109"/>
      <c r="AN105" s="109"/>
      <c r="AO105" s="109"/>
      <c r="AP105" s="109"/>
      <c r="AQ105" s="109"/>
      <c r="AR105" s="109"/>
      <c r="AS105" s="109"/>
    </row>
    <row r="106" spans="1:45" ht="22.15" customHeight="1">
      <c r="A106" s="219"/>
      <c r="B106" s="219"/>
      <c r="C106" s="456"/>
      <c r="D106" s="219"/>
      <c r="E106" s="245">
        <v>101</v>
      </c>
      <c r="F106" s="246">
        <f t="shared" si="27"/>
        <v>1.101</v>
      </c>
      <c r="G106" s="247">
        <f t="shared" si="32"/>
        <v>23.992627661690108</v>
      </c>
      <c r="H106" s="248">
        <f t="shared" si="28"/>
        <v>13.301544050862844</v>
      </c>
      <c r="I106" s="248">
        <f t="shared" si="33"/>
        <v>23.995441231454038</v>
      </c>
      <c r="J106" s="247">
        <f t="shared" si="29"/>
        <v>20.351362397820154</v>
      </c>
      <c r="K106" s="247">
        <f t="shared" si="26"/>
        <v>21.572444141689363</v>
      </c>
      <c r="L106" s="249">
        <f t="shared" si="30"/>
        <v>100.99999999999997</v>
      </c>
      <c r="M106" s="247">
        <f t="shared" si="34"/>
        <v>23.986916364096942</v>
      </c>
      <c r="N106" s="250">
        <f t="shared" si="31"/>
        <v>264.18980795830896</v>
      </c>
      <c r="O106" s="251">
        <f t="shared" si="35"/>
        <v>15.86290543401533</v>
      </c>
      <c r="P106" s="251">
        <f t="shared" si="36"/>
        <v>18.026028902290147</v>
      </c>
      <c r="Q106" s="109"/>
      <c r="R106" s="109"/>
      <c r="S106" s="109"/>
      <c r="T106" s="109"/>
      <c r="U106" s="109"/>
      <c r="V106" s="109"/>
      <c r="W106" s="109"/>
      <c r="X106" s="109"/>
      <c r="Y106" s="109"/>
      <c r="Z106" s="109"/>
      <c r="AA106" s="109"/>
      <c r="AB106" s="109"/>
      <c r="AC106" s="109"/>
      <c r="AD106" s="109"/>
      <c r="AE106" s="109"/>
      <c r="AF106" s="109"/>
      <c r="AG106" s="109"/>
      <c r="AH106" s="109"/>
      <c r="AI106" s="109"/>
      <c r="AJ106" s="109"/>
      <c r="AK106" s="109"/>
      <c r="AL106" s="109"/>
      <c r="AM106" s="109"/>
      <c r="AN106" s="109"/>
      <c r="AO106" s="109"/>
      <c r="AP106" s="109"/>
      <c r="AQ106" s="109"/>
      <c r="AR106" s="109"/>
      <c r="AS106" s="109"/>
    </row>
    <row r="107" spans="1:45" ht="22.15" customHeight="1">
      <c r="A107" s="219"/>
      <c r="B107" s="219"/>
      <c r="C107" s="456"/>
      <c r="D107" s="219"/>
      <c r="E107" s="245">
        <v>102</v>
      </c>
      <c r="F107" s="246">
        <f t="shared" si="27"/>
        <v>1.1020000000000001</v>
      </c>
      <c r="G107" s="247">
        <f t="shared" si="32"/>
        <v>24.210717190600803</v>
      </c>
      <c r="H107" s="248">
        <f t="shared" si="28"/>
        <v>13.421052631578959</v>
      </c>
      <c r="I107" s="248">
        <f t="shared" si="33"/>
        <v>24.213657458832131</v>
      </c>
      <c r="J107" s="247">
        <f t="shared" si="29"/>
        <v>20.534210526315807</v>
      </c>
      <c r="K107" s="247">
        <f t="shared" si="26"/>
        <v>21.766263157894755</v>
      </c>
      <c r="L107" s="249">
        <f t="shared" si="30"/>
        <v>102.00000000000009</v>
      </c>
      <c r="M107" s="247">
        <f t="shared" si="34"/>
        <v>24.204583580376038</v>
      </c>
      <c r="N107" s="250">
        <f t="shared" si="31"/>
        <v>266.8345051963301</v>
      </c>
      <c r="O107" s="251">
        <f t="shared" si="35"/>
        <v>16.021702559886862</v>
      </c>
      <c r="P107" s="251">
        <f t="shared" si="36"/>
        <v>18.206480181689614</v>
      </c>
      <c r="Q107" s="109"/>
      <c r="R107" s="109"/>
      <c r="S107" s="109"/>
      <c r="T107" s="109"/>
      <c r="U107" s="109"/>
      <c r="V107" s="109"/>
      <c r="W107" s="109"/>
      <c r="X107" s="109"/>
      <c r="Y107" s="109"/>
      <c r="Z107" s="109"/>
      <c r="AA107" s="109"/>
      <c r="AB107" s="109"/>
      <c r="AC107" s="109"/>
      <c r="AD107" s="109"/>
      <c r="AE107" s="109"/>
      <c r="AF107" s="109"/>
      <c r="AG107" s="109"/>
      <c r="AH107" s="109"/>
      <c r="AI107" s="109"/>
      <c r="AJ107" s="109"/>
      <c r="AK107" s="109"/>
      <c r="AL107" s="109"/>
      <c r="AM107" s="109"/>
      <c r="AN107" s="109"/>
      <c r="AO107" s="109"/>
      <c r="AP107" s="109"/>
      <c r="AQ107" s="109"/>
      <c r="AR107" s="109"/>
      <c r="AS107" s="109"/>
    </row>
    <row r="108" spans="1:45" ht="22.15" customHeight="1">
      <c r="A108" s="219"/>
      <c r="B108" s="219"/>
      <c r="C108" s="456"/>
      <c r="D108" s="219"/>
      <c r="E108" s="245">
        <v>103</v>
      </c>
      <c r="F108" s="246">
        <f t="shared" si="27"/>
        <v>1.103</v>
      </c>
      <c r="G108" s="247">
        <f t="shared" si="32"/>
        <v>24.428461781492615</v>
      </c>
      <c r="H108" s="248">
        <f t="shared" si="28"/>
        <v>13.540344514959202</v>
      </c>
      <c r="I108" s="248">
        <f t="shared" si="33"/>
        <v>24.431523541658066</v>
      </c>
      <c r="J108" s="247">
        <f t="shared" si="29"/>
        <v>20.716727107887579</v>
      </c>
      <c r="K108" s="247">
        <f t="shared" si="26"/>
        <v>21.959730734360836</v>
      </c>
      <c r="L108" s="249">
        <f t="shared" si="30"/>
        <v>102.99999999999999</v>
      </c>
      <c r="M108" s="247">
        <f t="shared" si="34"/>
        <v>24.421889464818946</v>
      </c>
      <c r="N108" s="250">
        <f t="shared" si="31"/>
        <v>269.47970466448845</v>
      </c>
      <c r="O108" s="251">
        <f t="shared" si="35"/>
        <v>16.18052984146059</v>
      </c>
      <c r="P108" s="251">
        <f t="shared" si="36"/>
        <v>18.386965728932488</v>
      </c>
      <c r="Q108" s="109"/>
      <c r="R108" s="109"/>
      <c r="S108" s="109"/>
      <c r="T108" s="109"/>
      <c r="U108" s="109"/>
      <c r="V108" s="109"/>
      <c r="W108" s="109"/>
      <c r="X108" s="109"/>
      <c r="Y108" s="109"/>
      <c r="Z108" s="109"/>
      <c r="AA108" s="109"/>
      <c r="AB108" s="109"/>
      <c r="AC108" s="109"/>
      <c r="AD108" s="109"/>
      <c r="AE108" s="109"/>
      <c r="AF108" s="109"/>
      <c r="AG108" s="109"/>
      <c r="AH108" s="109"/>
      <c r="AI108" s="109"/>
      <c r="AJ108" s="109"/>
      <c r="AK108" s="109"/>
      <c r="AL108" s="109"/>
      <c r="AM108" s="109"/>
      <c r="AN108" s="109"/>
      <c r="AO108" s="109"/>
      <c r="AP108" s="109"/>
      <c r="AQ108" s="109"/>
      <c r="AR108" s="109"/>
      <c r="AS108" s="109"/>
    </row>
    <row r="109" spans="1:45" ht="22.15" customHeight="1">
      <c r="A109" s="219"/>
      <c r="B109" s="219"/>
      <c r="C109" s="456"/>
      <c r="D109" s="219"/>
      <c r="E109" s="245">
        <v>104</v>
      </c>
      <c r="F109" s="246">
        <f t="shared" si="27"/>
        <v>1.1040000000000001</v>
      </c>
      <c r="G109" s="247">
        <f t="shared" si="32"/>
        <v>24.645862529126362</v>
      </c>
      <c r="H109" s="248">
        <f t="shared" si="28"/>
        <v>13.659420289855092</v>
      </c>
      <c r="I109" s="248">
        <f t="shared" si="33"/>
        <v>24.649040339456178</v>
      </c>
      <c r="J109" s="247">
        <f t="shared" si="29"/>
        <v>20.898913043478291</v>
      </c>
      <c r="K109" s="247">
        <f t="shared" si="26"/>
        <v>22.15284782608699</v>
      </c>
      <c r="L109" s="249">
        <f t="shared" si="30"/>
        <v>104.00000000000009</v>
      </c>
      <c r="M109" s="247">
        <f t="shared" si="34"/>
        <v>24.638834833408055</v>
      </c>
      <c r="N109" s="250">
        <f t="shared" si="31"/>
        <v>272.12540534759626</v>
      </c>
      <c r="O109" s="251">
        <f t="shared" si="35"/>
        <v>16.339387217780995</v>
      </c>
      <c r="P109" s="251">
        <f t="shared" si="36"/>
        <v>18.56748547475113</v>
      </c>
      <c r="Q109" s="109"/>
      <c r="R109" s="109"/>
      <c r="S109" s="109"/>
      <c r="T109" s="109"/>
      <c r="U109" s="109"/>
      <c r="V109" s="109"/>
      <c r="W109" s="109"/>
      <c r="X109" s="109"/>
      <c r="Y109" s="109"/>
      <c r="Z109" s="109"/>
      <c r="AA109" s="109"/>
      <c r="AB109" s="109"/>
      <c r="AC109" s="109"/>
      <c r="AD109" s="109"/>
      <c r="AE109" s="109"/>
      <c r="AF109" s="109"/>
      <c r="AG109" s="109"/>
      <c r="AH109" s="109"/>
      <c r="AI109" s="109"/>
      <c r="AJ109" s="109"/>
      <c r="AK109" s="109"/>
      <c r="AL109" s="109"/>
      <c r="AM109" s="109"/>
      <c r="AN109" s="109"/>
      <c r="AO109" s="109"/>
      <c r="AP109" s="109"/>
      <c r="AQ109" s="109"/>
      <c r="AR109" s="109"/>
      <c r="AS109" s="109"/>
    </row>
    <row r="110" spans="1:45" ht="22.15" customHeight="1">
      <c r="A110" s="219"/>
      <c r="B110" s="219"/>
      <c r="C110" s="456"/>
      <c r="D110" s="219"/>
      <c r="E110" s="245">
        <v>105</v>
      </c>
      <c r="F110" s="246">
        <f t="shared" si="27"/>
        <v>1.105</v>
      </c>
      <c r="G110" s="247">
        <f t="shared" si="32"/>
        <v>24.862920528262407</v>
      </c>
      <c r="H110" s="248">
        <f t="shared" si="28"/>
        <v>13.778280542986437</v>
      </c>
      <c r="I110" s="248">
        <f t="shared" si="33"/>
        <v>24.866208711750005</v>
      </c>
      <c r="J110" s="247">
        <f t="shared" si="29"/>
        <v>21.080769230769249</v>
      </c>
      <c r="K110" s="247">
        <f t="shared" si="26"/>
        <v>22.345615384615407</v>
      </c>
      <c r="L110" s="249">
        <f t="shared" si="30"/>
        <v>104.99999999999999</v>
      </c>
      <c r="M110" s="247">
        <f t="shared" si="34"/>
        <v>24.855420502125071</v>
      </c>
      <c r="N110" s="250">
        <f t="shared" si="31"/>
        <v>274.77160626483754</v>
      </c>
      <c r="O110" s="251">
        <f t="shared" si="35"/>
        <v>16.498274629956363</v>
      </c>
      <c r="P110" s="251">
        <f t="shared" si="36"/>
        <v>18.748039352223138</v>
      </c>
      <c r="Q110" s="109"/>
      <c r="R110" s="109"/>
      <c r="S110" s="109"/>
      <c r="T110" s="109"/>
      <c r="U110" s="109"/>
      <c r="V110" s="109"/>
      <c r="W110" s="109"/>
      <c r="X110" s="109"/>
      <c r="Y110" s="109"/>
      <c r="Z110" s="109"/>
      <c r="AA110" s="109"/>
      <c r="AB110" s="109"/>
      <c r="AC110" s="109"/>
      <c r="AD110" s="109"/>
      <c r="AE110" s="109"/>
      <c r="AF110" s="109"/>
      <c r="AG110" s="109"/>
      <c r="AH110" s="109"/>
      <c r="AI110" s="109"/>
      <c r="AJ110" s="109"/>
      <c r="AK110" s="109"/>
      <c r="AL110" s="109"/>
      <c r="AM110" s="109"/>
      <c r="AN110" s="109"/>
      <c r="AO110" s="109"/>
      <c r="AP110" s="109"/>
      <c r="AQ110" s="109"/>
      <c r="AR110" s="109"/>
      <c r="AS110" s="109"/>
    </row>
    <row r="111" spans="1:45" ht="22.15" customHeight="1">
      <c r="A111" s="219"/>
      <c r="B111" s="219"/>
      <c r="C111" s="456"/>
      <c r="D111" s="219"/>
      <c r="E111" s="245">
        <v>106</v>
      </c>
      <c r="F111" s="246">
        <f t="shared" si="27"/>
        <v>1.1060000000000001</v>
      </c>
      <c r="G111" s="247">
        <f t="shared" si="32"/>
        <v>25.07963687366157</v>
      </c>
      <c r="H111" s="248">
        <f t="shared" si="28"/>
        <v>13.896925858951192</v>
      </c>
      <c r="I111" s="248">
        <f t="shared" si="33"/>
        <v>25.083029518064109</v>
      </c>
      <c r="J111" s="247">
        <f t="shared" si="29"/>
        <v>21.262296564195324</v>
      </c>
      <c r="K111" s="247">
        <f t="shared" si="26"/>
        <v>22.538034358047046</v>
      </c>
      <c r="L111" s="249">
        <f t="shared" si="30"/>
        <v>106.0000000000001</v>
      </c>
      <c r="M111" s="247">
        <f t="shared" si="34"/>
        <v>25.071647286952043</v>
      </c>
      <c r="N111" s="250">
        <f t="shared" si="31"/>
        <v>277.41830646978906</v>
      </c>
      <c r="O111" s="251">
        <f t="shared" si="35"/>
        <v>16.657192021160043</v>
      </c>
      <c r="P111" s="251">
        <f t="shared" si="36"/>
        <v>18.928627296772774</v>
      </c>
      <c r="Q111" s="109"/>
      <c r="R111" s="109"/>
      <c r="S111" s="109"/>
      <c r="T111" s="109"/>
      <c r="U111" s="109"/>
      <c r="V111" s="109"/>
      <c r="W111" s="109"/>
      <c r="X111" s="109"/>
      <c r="Y111" s="109"/>
      <c r="Z111" s="109"/>
      <c r="AA111" s="109"/>
      <c r="AB111" s="109"/>
      <c r="AC111" s="109"/>
      <c r="AD111" s="109"/>
      <c r="AE111" s="109"/>
      <c r="AF111" s="109"/>
      <c r="AG111" s="109"/>
      <c r="AH111" s="109"/>
      <c r="AI111" s="109"/>
      <c r="AJ111" s="109"/>
      <c r="AK111" s="109"/>
      <c r="AL111" s="109"/>
      <c r="AM111" s="109"/>
      <c r="AN111" s="109"/>
      <c r="AO111" s="109"/>
      <c r="AP111" s="109"/>
      <c r="AQ111" s="109"/>
      <c r="AR111" s="109"/>
      <c r="AS111" s="109"/>
    </row>
    <row r="112" spans="1:45" ht="22.15" customHeight="1">
      <c r="A112" s="219"/>
      <c r="B112" s="219"/>
      <c r="C112" s="456"/>
      <c r="D112" s="219"/>
      <c r="E112" s="245">
        <v>107</v>
      </c>
      <c r="F112" s="246">
        <f t="shared" si="27"/>
        <v>1.107</v>
      </c>
      <c r="G112" s="247">
        <f t="shared" si="32"/>
        <v>25.296012660084216</v>
      </c>
      <c r="H112" s="248">
        <f t="shared" si="28"/>
        <v>14.015356820234871</v>
      </c>
      <c r="I112" s="248">
        <f t="shared" si="33"/>
        <v>25.299503617922028</v>
      </c>
      <c r="J112" s="247">
        <f t="shared" si="29"/>
        <v>21.443495934959351</v>
      </c>
      <c r="K112" s="247">
        <f t="shared" si="26"/>
        <v>22.730105691056913</v>
      </c>
      <c r="L112" s="249">
        <f t="shared" si="30"/>
        <v>106.99999999999999</v>
      </c>
      <c r="M112" s="247">
        <f t="shared" si="34"/>
        <v>25.287516003870905</v>
      </c>
      <c r="N112" s="250">
        <f t="shared" si="31"/>
        <v>280.06550505039684</v>
      </c>
      <c r="O112" s="251">
        <f t="shared" si="35"/>
        <v>16.816139336629028</v>
      </c>
      <c r="P112" s="251">
        <f t="shared" si="36"/>
        <v>19.109249246169352</v>
      </c>
      <c r="Q112" s="109"/>
      <c r="R112" s="109"/>
      <c r="S112" s="109"/>
      <c r="T112" s="109"/>
      <c r="U112" s="109"/>
      <c r="V112" s="109"/>
      <c r="W112" s="109"/>
      <c r="X112" s="109"/>
      <c r="Y112" s="109"/>
      <c r="Z112" s="109"/>
      <c r="AA112" s="109"/>
      <c r="AB112" s="109"/>
      <c r="AC112" s="109"/>
      <c r="AD112" s="109"/>
      <c r="AE112" s="109"/>
      <c r="AF112" s="109"/>
      <c r="AG112" s="109"/>
      <c r="AH112" s="109"/>
      <c r="AI112" s="109"/>
      <c r="AJ112" s="109"/>
      <c r="AK112" s="109"/>
      <c r="AL112" s="109"/>
      <c r="AM112" s="109"/>
      <c r="AN112" s="109"/>
      <c r="AO112" s="109"/>
      <c r="AP112" s="109"/>
      <c r="AQ112" s="109"/>
      <c r="AR112" s="109"/>
      <c r="AS112" s="109"/>
    </row>
    <row r="113" spans="1:45" ht="22.15" customHeight="1">
      <c r="A113" s="219"/>
      <c r="B113" s="219"/>
      <c r="C113" s="456"/>
      <c r="D113" s="219"/>
      <c r="E113" s="245">
        <v>108</v>
      </c>
      <c r="F113" s="246">
        <f t="shared" si="27"/>
        <v>1.1080000000000001</v>
      </c>
      <c r="G113" s="247">
        <f t="shared" si="32"/>
        <v>25.512048982291049</v>
      </c>
      <c r="H113" s="248">
        <f t="shared" si="28"/>
        <v>14.133574007220233</v>
      </c>
      <c r="I113" s="248">
        <f t="shared" si="33"/>
        <v>25.515631870848097</v>
      </c>
      <c r="J113" s="247">
        <f t="shared" si="29"/>
        <v>21.624368231046958</v>
      </c>
      <c r="K113" s="247">
        <f t="shared" si="26"/>
        <v>22.921830324909777</v>
      </c>
      <c r="L113" s="249">
        <f t="shared" si="30"/>
        <v>108.0000000000001</v>
      </c>
      <c r="M113" s="247">
        <f t="shared" si="34"/>
        <v>25.503027468864047</v>
      </c>
      <c r="N113" s="250">
        <f t="shared" si="31"/>
        <v>282.71320112899696</v>
      </c>
      <c r="O113" s="251">
        <f t="shared" si="35"/>
        <v>16.975116523665232</v>
      </c>
      <c r="P113" s="251">
        <f t="shared" si="36"/>
        <v>19.289905140528671</v>
      </c>
      <c r="Q113" s="109"/>
      <c r="R113" s="109"/>
      <c r="S113" s="109"/>
      <c r="T113" s="109"/>
      <c r="U113" s="109"/>
      <c r="V113" s="109"/>
      <c r="W113" s="109"/>
      <c r="X113" s="109"/>
      <c r="Y113" s="109"/>
      <c r="Z113" s="109"/>
      <c r="AA113" s="109"/>
      <c r="AB113" s="109"/>
      <c r="AC113" s="109"/>
      <c r="AD113" s="109"/>
      <c r="AE113" s="109"/>
      <c r="AF113" s="109"/>
      <c r="AG113" s="109"/>
      <c r="AH113" s="109"/>
      <c r="AI113" s="109"/>
      <c r="AJ113" s="109"/>
      <c r="AK113" s="109"/>
      <c r="AL113" s="109"/>
      <c r="AM113" s="109"/>
      <c r="AN113" s="109"/>
      <c r="AO113" s="109"/>
      <c r="AP113" s="109"/>
      <c r="AQ113" s="109"/>
      <c r="AR113" s="109"/>
      <c r="AS113" s="109"/>
    </row>
    <row r="114" spans="1:45" ht="22.15" customHeight="1">
      <c r="A114" s="219"/>
      <c r="B114" s="219"/>
      <c r="C114" s="456"/>
      <c r="D114" s="219"/>
      <c r="E114" s="245">
        <v>109</v>
      </c>
      <c r="F114" s="246">
        <f t="shared" si="27"/>
        <v>1.109</v>
      </c>
      <c r="G114" s="247">
        <f t="shared" si="32"/>
        <v>25.727746935042887</v>
      </c>
      <c r="H114" s="248">
        <f t="shared" si="28"/>
        <v>14.251577998196581</v>
      </c>
      <c r="I114" s="248">
        <f t="shared" si="33"/>
        <v>25.731415136366195</v>
      </c>
      <c r="J114" s="247">
        <f t="shared" si="29"/>
        <v>21.804914337240771</v>
      </c>
      <c r="K114" s="247">
        <f t="shared" si="26"/>
        <v>23.113209197475218</v>
      </c>
      <c r="L114" s="249">
        <f t="shared" si="30"/>
        <v>108.99999999999999</v>
      </c>
      <c r="M114" s="247">
        <f t="shared" si="34"/>
        <v>25.718182497913062</v>
      </c>
      <c r="N114" s="250">
        <f t="shared" si="31"/>
        <v>285.3613938623011</v>
      </c>
      <c r="O114" s="251">
        <f t="shared" si="35"/>
        <v>17.134123531634593</v>
      </c>
      <c r="P114" s="251">
        <f t="shared" si="36"/>
        <v>19.470594922312038</v>
      </c>
      <c r="Q114" s="109"/>
      <c r="R114" s="109"/>
      <c r="S114" s="109"/>
      <c r="T114" s="109"/>
      <c r="U114" s="109"/>
      <c r="V114" s="109"/>
      <c r="W114" s="109"/>
      <c r="X114" s="109"/>
      <c r="Y114" s="109"/>
      <c r="Z114" s="109"/>
      <c r="AA114" s="109"/>
      <c r="AB114" s="109"/>
      <c r="AC114" s="109"/>
      <c r="AD114" s="109"/>
      <c r="AE114" s="109"/>
      <c r="AF114" s="109"/>
      <c r="AG114" s="109"/>
      <c r="AH114" s="109"/>
      <c r="AI114" s="109"/>
      <c r="AJ114" s="109"/>
      <c r="AK114" s="109"/>
      <c r="AL114" s="109"/>
      <c r="AM114" s="109"/>
      <c r="AN114" s="109"/>
      <c r="AO114" s="109"/>
      <c r="AP114" s="109"/>
      <c r="AQ114" s="109"/>
      <c r="AR114" s="109"/>
      <c r="AS114" s="109"/>
    </row>
    <row r="115" spans="1:45" ht="22.15" customHeight="1">
      <c r="A115" s="219"/>
      <c r="B115" s="219"/>
      <c r="C115" s="456"/>
      <c r="D115" s="219"/>
      <c r="E115" s="245">
        <v>110</v>
      </c>
      <c r="F115" s="246">
        <f t="shared" si="27"/>
        <v>1.1100000000000001</v>
      </c>
      <c r="G115" s="247">
        <f t="shared" si="32"/>
        <v>25.943107613099983</v>
      </c>
      <c r="H115" s="248">
        <f t="shared" si="28"/>
        <v>14.369369369369394</v>
      </c>
      <c r="I115" s="248">
        <f t="shared" si="33"/>
        <v>25.946854274000202</v>
      </c>
      <c r="J115" s="247">
        <f t="shared" si="29"/>
        <v>21.985135135135174</v>
      </c>
      <c r="K115" s="247">
        <f t="shared" si="26"/>
        <v>23.304243243243285</v>
      </c>
      <c r="L115" s="249">
        <f t="shared" si="30"/>
        <v>110.0000000000001</v>
      </c>
      <c r="M115" s="247">
        <f t="shared" si="34"/>
        <v>25.932981907000112</v>
      </c>
      <c r="N115" s="250">
        <f t="shared" si="31"/>
        <v>288.01008244140229</v>
      </c>
      <c r="O115" s="251">
        <f t="shared" si="35"/>
        <v>17.293160311967426</v>
      </c>
      <c r="P115" s="251">
        <f t="shared" si="36"/>
        <v>19.65131853632662</v>
      </c>
      <c r="Q115" s="109"/>
      <c r="R115" s="109"/>
      <c r="S115" s="109"/>
      <c r="T115" s="109"/>
      <c r="U115" s="109"/>
      <c r="V115" s="109"/>
      <c r="W115" s="109"/>
      <c r="X115" s="109"/>
      <c r="Y115" s="109"/>
      <c r="Z115" s="109"/>
      <c r="AA115" s="109"/>
      <c r="AB115" s="109"/>
      <c r="AC115" s="109"/>
      <c r="AD115" s="109"/>
      <c r="AE115" s="109"/>
      <c r="AF115" s="109"/>
      <c r="AG115" s="109"/>
      <c r="AH115" s="109"/>
      <c r="AI115" s="109"/>
      <c r="AJ115" s="109"/>
      <c r="AK115" s="109"/>
      <c r="AL115" s="109"/>
      <c r="AM115" s="109"/>
      <c r="AN115" s="109"/>
      <c r="AO115" s="109"/>
      <c r="AP115" s="109"/>
      <c r="AQ115" s="109"/>
      <c r="AR115" s="109"/>
      <c r="AS115" s="109"/>
    </row>
    <row r="116" spans="1:45" ht="22.15" customHeight="1">
      <c r="A116" s="219"/>
      <c r="B116" s="219"/>
      <c r="C116" s="456"/>
      <c r="D116" s="219"/>
      <c r="E116" s="245">
        <v>111</v>
      </c>
      <c r="F116" s="246">
        <f t="shared" si="27"/>
        <v>1.111</v>
      </c>
      <c r="G116" s="247">
        <f t="shared" si="32"/>
        <v>26.15813211122304</v>
      </c>
      <c r="H116" s="248">
        <f t="shared" si="28"/>
        <v>14.486948694869483</v>
      </c>
      <c r="I116" s="248">
        <f t="shared" si="33"/>
        <v>26.161950143274112</v>
      </c>
      <c r="J116" s="247">
        <f t="shared" si="29"/>
        <v>22.16503150315031</v>
      </c>
      <c r="K116" s="247">
        <f t="shared" si="26"/>
        <v>23.494933393339331</v>
      </c>
      <c r="L116" s="249">
        <f t="shared" si="30"/>
        <v>110.99999999999999</v>
      </c>
      <c r="M116" s="247">
        <f t="shared" si="34"/>
        <v>26.147426512107018</v>
      </c>
      <c r="N116" s="250">
        <f t="shared" si="31"/>
        <v>290.65926609177535</v>
      </c>
      <c r="O116" s="251">
        <f t="shared" si="35"/>
        <v>17.452226818158451</v>
      </c>
      <c r="P116" s="251">
        <f t="shared" si="36"/>
        <v>19.832075929725512</v>
      </c>
      <c r="Q116" s="109"/>
      <c r="R116" s="109"/>
      <c r="S116" s="109"/>
      <c r="T116" s="109"/>
      <c r="U116" s="109"/>
      <c r="V116" s="109"/>
      <c r="W116" s="109"/>
      <c r="X116" s="109"/>
      <c r="Y116" s="109"/>
      <c r="Z116" s="109"/>
      <c r="AA116" s="109"/>
      <c r="AB116" s="109"/>
      <c r="AC116" s="109"/>
      <c r="AD116" s="109"/>
      <c r="AE116" s="109"/>
      <c r="AF116" s="109"/>
      <c r="AG116" s="109"/>
      <c r="AH116" s="109"/>
      <c r="AI116" s="109"/>
      <c r="AJ116" s="109"/>
      <c r="AK116" s="109"/>
      <c r="AL116" s="109"/>
      <c r="AM116" s="109"/>
      <c r="AN116" s="109"/>
      <c r="AO116" s="109"/>
      <c r="AP116" s="109"/>
      <c r="AQ116" s="109"/>
      <c r="AR116" s="109"/>
      <c r="AS116" s="109"/>
    </row>
    <row r="117" spans="1:45" ht="22.15" customHeight="1">
      <c r="A117" s="219"/>
      <c r="B117" s="219"/>
      <c r="C117" s="456"/>
      <c r="D117" s="219"/>
      <c r="E117" s="245">
        <v>112</v>
      </c>
      <c r="F117" s="246">
        <f t="shared" si="27"/>
        <v>1.1120000000000001</v>
      </c>
      <c r="G117" s="247">
        <f t="shared" si="32"/>
        <v>26.372821524172764</v>
      </c>
      <c r="H117" s="248">
        <f t="shared" si="28"/>
        <v>14.60431654676259</v>
      </c>
      <c r="I117" s="248">
        <f t="shared" si="33"/>
        <v>26.376703603712144</v>
      </c>
      <c r="J117" s="247">
        <f t="shared" si="29"/>
        <v>22.344604316546764</v>
      </c>
      <c r="K117" s="247">
        <f t="shared" si="26"/>
        <v>23.685280575539572</v>
      </c>
      <c r="L117" s="249">
        <f t="shared" si="30"/>
        <v>112.0000000000001</v>
      </c>
      <c r="M117" s="247">
        <f t="shared" si="34"/>
        <v>26.361517129216054</v>
      </c>
      <c r="N117" s="250">
        <f t="shared" si="31"/>
        <v>293.30894407327906</v>
      </c>
      <c r="O117" s="251">
        <f t="shared" si="35"/>
        <v>17.611323005766945</v>
      </c>
      <c r="P117" s="251">
        <f t="shared" si="36"/>
        <v>20.012867052007891</v>
      </c>
      <c r="Q117" s="109"/>
      <c r="R117" s="109"/>
      <c r="S117" s="109"/>
      <c r="T117" s="109"/>
      <c r="U117" s="109"/>
      <c r="V117" s="109"/>
      <c r="W117" s="109"/>
      <c r="X117" s="109"/>
      <c r="Y117" s="109"/>
      <c r="Z117" s="109"/>
      <c r="AA117" s="109"/>
      <c r="AB117" s="109"/>
      <c r="AC117" s="109"/>
      <c r="AD117" s="109"/>
      <c r="AE117" s="109"/>
      <c r="AF117" s="109"/>
      <c r="AG117" s="109"/>
      <c r="AH117" s="109"/>
      <c r="AI117" s="109"/>
      <c r="AJ117" s="109"/>
      <c r="AK117" s="109"/>
      <c r="AL117" s="109"/>
      <c r="AM117" s="109"/>
      <c r="AN117" s="109"/>
      <c r="AO117" s="109"/>
      <c r="AP117" s="109"/>
      <c r="AQ117" s="109"/>
      <c r="AR117" s="109"/>
      <c r="AS117" s="109"/>
    </row>
    <row r="118" spans="1:45" ht="22.15" customHeight="1">
      <c r="A118" s="219"/>
      <c r="B118" s="219"/>
      <c r="C118" s="456"/>
      <c r="D118" s="219"/>
      <c r="E118" s="245">
        <v>113</v>
      </c>
      <c r="F118" s="246">
        <f t="shared" si="27"/>
        <v>1.113</v>
      </c>
      <c r="G118" s="247">
        <f t="shared" si="32"/>
        <v>26.587176946709633</v>
      </c>
      <c r="H118" s="248">
        <f t="shared" si="28"/>
        <v>14.721473495058405</v>
      </c>
      <c r="I118" s="248">
        <f t="shared" si="33"/>
        <v>26.591115514838179</v>
      </c>
      <c r="J118" s="247">
        <f t="shared" si="29"/>
        <v>22.523854447439358</v>
      </c>
      <c r="K118" s="247">
        <f t="shared" si="26"/>
        <v>23.87528571428572</v>
      </c>
      <c r="L118" s="249">
        <f t="shared" si="30"/>
        <v>112.99999999999999</v>
      </c>
      <c r="M118" s="247">
        <f t="shared" si="34"/>
        <v>26.575254574309042</v>
      </c>
      <c r="N118" s="250">
        <f t="shared" si="31"/>
        <v>295.95911568014895</v>
      </c>
      <c r="O118" s="251">
        <f t="shared" si="35"/>
        <v>17.77044883241626</v>
      </c>
      <c r="P118" s="251">
        <f t="shared" si="36"/>
        <v>20.193691855018479</v>
      </c>
      <c r="Q118" s="109"/>
      <c r="R118" s="109"/>
      <c r="S118" s="109"/>
      <c r="T118" s="109"/>
      <c r="U118" s="109"/>
      <c r="V118" s="109"/>
      <c r="W118" s="109"/>
      <c r="X118" s="109"/>
      <c r="Y118" s="109"/>
      <c r="Z118" s="109"/>
      <c r="AA118" s="109"/>
      <c r="AB118" s="109"/>
      <c r="AC118" s="109"/>
      <c r="AD118" s="109"/>
      <c r="AE118" s="109"/>
      <c r="AF118" s="109"/>
      <c r="AG118" s="109"/>
      <c r="AH118" s="109"/>
      <c r="AI118" s="109"/>
      <c r="AJ118" s="109"/>
      <c r="AK118" s="109"/>
      <c r="AL118" s="109"/>
      <c r="AM118" s="109"/>
      <c r="AN118" s="109"/>
      <c r="AO118" s="109"/>
      <c r="AP118" s="109"/>
      <c r="AQ118" s="109"/>
      <c r="AR118" s="109"/>
      <c r="AS118" s="109"/>
    </row>
    <row r="119" spans="1:45" ht="22.15" customHeight="1">
      <c r="A119" s="219"/>
      <c r="B119" s="219"/>
      <c r="C119" s="456"/>
      <c r="D119" s="219"/>
      <c r="E119" s="245">
        <v>114</v>
      </c>
      <c r="F119" s="246">
        <f t="shared" si="27"/>
        <v>1.1140000000000001</v>
      </c>
      <c r="G119" s="247">
        <f t="shared" si="32"/>
        <v>26.801199473594352</v>
      </c>
      <c r="H119" s="248">
        <f t="shared" si="28"/>
        <v>14.838420107719941</v>
      </c>
      <c r="I119" s="248">
        <f t="shared" si="33"/>
        <v>26.805186736176211</v>
      </c>
      <c r="J119" s="247">
        <f t="shared" si="29"/>
        <v>22.702782764811509</v>
      </c>
      <c r="K119" s="247">
        <f t="shared" si="26"/>
        <v>24.064949730700199</v>
      </c>
      <c r="L119" s="249">
        <f t="shared" si="30"/>
        <v>114.0000000000001</v>
      </c>
      <c r="M119" s="247">
        <f t="shared" si="34"/>
        <v>26.788639663368144</v>
      </c>
      <c r="N119" s="250">
        <f t="shared" si="31"/>
        <v>298.60978024100302</v>
      </c>
      <c r="O119" s="251">
        <f t="shared" si="35"/>
        <v>17.92960425779421</v>
      </c>
      <c r="P119" s="251">
        <f t="shared" si="36"/>
        <v>20.374550292947966</v>
      </c>
      <c r="Q119" s="109"/>
      <c r="R119" s="109"/>
      <c r="S119" s="109"/>
      <c r="T119" s="109"/>
      <c r="U119" s="109"/>
      <c r="V119" s="109"/>
      <c r="W119" s="109"/>
      <c r="X119" s="109"/>
      <c r="Y119" s="109"/>
      <c r="Z119" s="109"/>
      <c r="AA119" s="109"/>
      <c r="AB119" s="109"/>
      <c r="AC119" s="109"/>
      <c r="AD119" s="109"/>
      <c r="AE119" s="109"/>
      <c r="AF119" s="109"/>
      <c r="AG119" s="109"/>
      <c r="AH119" s="109"/>
      <c r="AI119" s="109"/>
      <c r="AJ119" s="109"/>
      <c r="AK119" s="109"/>
      <c r="AL119" s="109"/>
      <c r="AM119" s="109"/>
      <c r="AN119" s="109"/>
      <c r="AO119" s="109"/>
      <c r="AP119" s="109"/>
      <c r="AQ119" s="109"/>
      <c r="AR119" s="109"/>
      <c r="AS119" s="109"/>
    </row>
    <row r="120" spans="1:45" ht="22.15" customHeight="1">
      <c r="A120" s="219"/>
      <c r="B120" s="219"/>
      <c r="C120" s="456"/>
      <c r="D120" s="219"/>
      <c r="E120" s="245">
        <v>115</v>
      </c>
      <c r="F120" s="246">
        <f t="shared" si="27"/>
        <v>1.115</v>
      </c>
      <c r="G120" s="247">
        <f t="shared" si="32"/>
        <v>27.014890199587512</v>
      </c>
      <c r="H120" s="248">
        <f t="shared" si="28"/>
        <v>14.955156950672631</v>
      </c>
      <c r="I120" s="248">
        <f t="shared" si="33"/>
        <v>27.018918127250004</v>
      </c>
      <c r="J120" s="247">
        <f t="shared" si="29"/>
        <v>22.881390134529127</v>
      </c>
      <c r="K120" s="247">
        <f t="shared" si="26"/>
        <v>24.254273542600878</v>
      </c>
      <c r="L120" s="249">
        <f t="shared" si="30"/>
        <v>114.99999999999999</v>
      </c>
      <c r="M120" s="247">
        <f t="shared" si="34"/>
        <v>27.001673212375067</v>
      </c>
      <c r="N120" s="250">
        <f t="shared" si="31"/>
        <v>301.26093711883755</v>
      </c>
      <c r="O120" s="251">
        <f t="shared" si="35"/>
        <v>18.088789243652801</v>
      </c>
      <c r="P120" s="251">
        <f t="shared" si="36"/>
        <v>20.55544232233273</v>
      </c>
      <c r="Q120" s="109"/>
      <c r="R120" s="109"/>
      <c r="S120" s="109"/>
      <c r="T120" s="109"/>
      <c r="U120" s="109"/>
      <c r="V120" s="109"/>
      <c r="W120" s="109"/>
      <c r="X120" s="109"/>
      <c r="Y120" s="109"/>
      <c r="Z120" s="109"/>
      <c r="AA120" s="109"/>
      <c r="AB120" s="109"/>
      <c r="AC120" s="109"/>
      <c r="AD120" s="109"/>
      <c r="AE120" s="109"/>
      <c r="AF120" s="109"/>
      <c r="AG120" s="109"/>
      <c r="AH120" s="109"/>
      <c r="AI120" s="109"/>
      <c r="AJ120" s="109"/>
      <c r="AK120" s="109"/>
      <c r="AL120" s="109"/>
      <c r="AM120" s="109"/>
      <c r="AN120" s="109"/>
      <c r="AO120" s="109"/>
      <c r="AP120" s="109"/>
      <c r="AQ120" s="109"/>
      <c r="AR120" s="109"/>
      <c r="AS120" s="109"/>
    </row>
    <row r="121" spans="1:45" ht="22.15" customHeight="1">
      <c r="A121" s="219"/>
      <c r="B121" s="219"/>
      <c r="C121" s="456"/>
      <c r="D121" s="219"/>
      <c r="E121" s="245">
        <v>116</v>
      </c>
      <c r="F121" s="246">
        <f t="shared" si="27"/>
        <v>1.1160000000000001</v>
      </c>
      <c r="G121" s="247">
        <f t="shared" si="32"/>
        <v>27.228250219449592</v>
      </c>
      <c r="H121" s="248">
        <f t="shared" si="28"/>
        <v>15.071684587813621</v>
      </c>
      <c r="I121" s="248">
        <f t="shared" si="33"/>
        <v>27.232310547583893</v>
      </c>
      <c r="J121" s="247">
        <f t="shared" si="29"/>
        <v>23.059677419354841</v>
      </c>
      <c r="K121" s="247">
        <f t="shared" si="26"/>
        <v>24.443258064516133</v>
      </c>
      <c r="L121" s="249">
        <f t="shared" si="30"/>
        <v>116.0000000000001</v>
      </c>
      <c r="M121" s="247">
        <f t="shared" si="34"/>
        <v>27.214356037312086</v>
      </c>
      <c r="N121" s="250">
        <f t="shared" si="31"/>
        <v>303.91258571103629</v>
      </c>
      <c r="O121" s="251">
        <f t="shared" si="35"/>
        <v>18.248003753808803</v>
      </c>
      <c r="P121" s="251">
        <f t="shared" si="36"/>
        <v>20.736367902055456</v>
      </c>
      <c r="Q121" s="109"/>
      <c r="R121" s="109"/>
      <c r="S121" s="109"/>
      <c r="T121" s="109"/>
      <c r="U121" s="109"/>
      <c r="V121" s="109"/>
      <c r="W121" s="109"/>
      <c r="X121" s="109"/>
      <c r="Y121" s="109"/>
      <c r="Z121" s="109"/>
      <c r="AA121" s="109"/>
      <c r="AB121" s="109"/>
      <c r="AC121" s="109"/>
      <c r="AD121" s="109"/>
      <c r="AE121" s="109"/>
      <c r="AF121" s="109"/>
      <c r="AG121" s="109"/>
      <c r="AH121" s="109"/>
      <c r="AI121" s="109"/>
      <c r="AJ121" s="109"/>
      <c r="AK121" s="109"/>
      <c r="AL121" s="109"/>
      <c r="AM121" s="109"/>
      <c r="AN121" s="109"/>
      <c r="AO121" s="109"/>
      <c r="AP121" s="109"/>
      <c r="AQ121" s="109"/>
      <c r="AR121" s="109"/>
      <c r="AS121" s="109"/>
    </row>
    <row r="122" spans="1:45" ht="22.15" customHeight="1">
      <c r="A122" s="219"/>
      <c r="B122" s="219"/>
      <c r="C122" s="456"/>
      <c r="D122" s="219"/>
      <c r="E122" s="245">
        <v>117</v>
      </c>
      <c r="F122" s="246">
        <f t="shared" si="27"/>
        <v>1.117</v>
      </c>
      <c r="G122" s="247">
        <f t="shared" si="32"/>
        <v>27.441280627941296</v>
      </c>
      <c r="H122" s="248">
        <f t="shared" si="28"/>
        <v>15.188003581020581</v>
      </c>
      <c r="I122" s="248">
        <f t="shared" si="33"/>
        <v>27.445364856701985</v>
      </c>
      <c r="J122" s="247">
        <f t="shared" si="29"/>
        <v>23.23764547896149</v>
      </c>
      <c r="K122" s="247">
        <f t="shared" si="26"/>
        <v>24.631904207699179</v>
      </c>
      <c r="L122" s="249">
        <f t="shared" si="30"/>
        <v>117</v>
      </c>
      <c r="M122" s="247">
        <f t="shared" si="34"/>
        <v>27.426688954161136</v>
      </c>
      <c r="N122" s="250">
        <f t="shared" si="31"/>
        <v>306.56472544936116</v>
      </c>
      <c r="O122" s="251">
        <f t="shared" si="35"/>
        <v>18.407247754143139</v>
      </c>
      <c r="P122" s="251">
        <f t="shared" si="36"/>
        <v>20.917326993344474</v>
      </c>
      <c r="Q122" s="109"/>
      <c r="R122" s="109"/>
      <c r="S122" s="109"/>
      <c r="T122" s="109"/>
      <c r="U122" s="109"/>
      <c r="V122" s="109"/>
      <c r="W122" s="109"/>
      <c r="X122" s="109"/>
      <c r="Y122" s="109"/>
      <c r="Z122" s="109"/>
      <c r="AA122" s="109"/>
      <c r="AB122" s="109"/>
      <c r="AC122" s="109"/>
      <c r="AD122" s="109"/>
      <c r="AE122" s="109"/>
      <c r="AF122" s="109"/>
      <c r="AG122" s="109"/>
      <c r="AH122" s="109"/>
      <c r="AI122" s="109"/>
      <c r="AJ122" s="109"/>
      <c r="AK122" s="109"/>
      <c r="AL122" s="109"/>
      <c r="AM122" s="109"/>
      <c r="AN122" s="109"/>
      <c r="AO122" s="109"/>
      <c r="AP122" s="109"/>
      <c r="AQ122" s="109"/>
      <c r="AR122" s="109"/>
      <c r="AS122" s="109"/>
    </row>
    <row r="123" spans="1:45" ht="22.15" customHeight="1">
      <c r="A123" s="219"/>
      <c r="B123" s="219"/>
      <c r="C123" s="456"/>
      <c r="D123" s="219"/>
      <c r="E123" s="245">
        <v>118</v>
      </c>
      <c r="F123" s="246">
        <f t="shared" si="27"/>
        <v>1.1180000000000001</v>
      </c>
      <c r="G123" s="247">
        <f t="shared" si="32"/>
        <v>27.653982519823103</v>
      </c>
      <c r="H123" s="248">
        <f t="shared" si="28"/>
        <v>15.304114490161027</v>
      </c>
      <c r="I123" s="248">
        <f t="shared" si="33"/>
        <v>27.658081914128047</v>
      </c>
      <c r="J123" s="247">
        <f t="shared" si="29"/>
        <v>23.415295169946372</v>
      </c>
      <c r="K123" s="247">
        <f t="shared" si="26"/>
        <v>24.820212880143156</v>
      </c>
      <c r="L123" s="249">
        <f t="shared" si="30"/>
        <v>118.0000000000001</v>
      </c>
      <c r="M123" s="247">
        <f t="shared" si="34"/>
        <v>27.638672778904038</v>
      </c>
      <c r="N123" s="250">
        <f t="shared" si="31"/>
        <v>309.21735579995158</v>
      </c>
      <c r="O123" s="251">
        <f t="shared" si="35"/>
        <v>18.566521212600911</v>
      </c>
      <c r="P123" s="251">
        <f t="shared" si="36"/>
        <v>21.098319559773763</v>
      </c>
      <c r="Q123" s="109"/>
      <c r="R123" s="109"/>
      <c r="S123" s="109"/>
      <c r="T123" s="109"/>
      <c r="U123" s="109"/>
      <c r="V123" s="109"/>
      <c r="W123" s="109"/>
      <c r="X123" s="109"/>
      <c r="Y123" s="109"/>
      <c r="Z123" s="109"/>
      <c r="AA123" s="109"/>
      <c r="AB123" s="109"/>
      <c r="AC123" s="109"/>
      <c r="AD123" s="109"/>
      <c r="AE123" s="109"/>
      <c r="AF123" s="109"/>
      <c r="AG123" s="109"/>
      <c r="AH123" s="109"/>
      <c r="AI123" s="109"/>
      <c r="AJ123" s="109"/>
      <c r="AK123" s="109"/>
      <c r="AL123" s="109"/>
      <c r="AM123" s="109"/>
      <c r="AN123" s="109"/>
      <c r="AO123" s="109"/>
      <c r="AP123" s="109"/>
      <c r="AQ123" s="109"/>
      <c r="AR123" s="109"/>
      <c r="AS123" s="109"/>
    </row>
    <row r="124" spans="1:45" ht="22.15" customHeight="1">
      <c r="A124" s="219"/>
      <c r="B124" s="219"/>
      <c r="C124" s="456"/>
      <c r="D124" s="219"/>
      <c r="E124" s="245">
        <v>119</v>
      </c>
      <c r="F124" s="246">
        <f t="shared" si="27"/>
        <v>1.119</v>
      </c>
      <c r="G124" s="247">
        <f t="shared" si="32"/>
        <v>27.866356989855944</v>
      </c>
      <c r="H124" s="248">
        <f t="shared" si="28"/>
        <v>15.420017873100988</v>
      </c>
      <c r="I124" s="248">
        <f t="shared" si="33"/>
        <v>27.870462579385958</v>
      </c>
      <c r="J124" s="247">
        <f t="shared" si="29"/>
        <v>23.592627345844512</v>
      </c>
      <c r="K124" s="247">
        <f t="shared" si="26"/>
        <v>25.008184986595186</v>
      </c>
      <c r="L124" s="249">
        <f t="shared" si="30"/>
        <v>119</v>
      </c>
      <c r="M124" s="247">
        <f t="shared" si="34"/>
        <v>27.850308327523067</v>
      </c>
      <c r="N124" s="250">
        <f t="shared" si="31"/>
        <v>311.87047626332884</v>
      </c>
      <c r="O124" s="251">
        <f t="shared" si="35"/>
        <v>18.725824099191623</v>
      </c>
      <c r="P124" s="251">
        <f t="shared" si="36"/>
        <v>21.279345567263206</v>
      </c>
      <c r="Q124" s="109"/>
      <c r="R124" s="109"/>
      <c r="S124" s="109"/>
      <c r="T124" s="109"/>
      <c r="U124" s="109"/>
      <c r="V124" s="109"/>
      <c r="W124" s="109"/>
      <c r="X124" s="109"/>
      <c r="Y124" s="109"/>
      <c r="Z124" s="109"/>
      <c r="AA124" s="109"/>
      <c r="AB124" s="109"/>
      <c r="AC124" s="109"/>
      <c r="AD124" s="109"/>
      <c r="AE124" s="109"/>
      <c r="AF124" s="109"/>
      <c r="AG124" s="109"/>
      <c r="AH124" s="109"/>
      <c r="AI124" s="109"/>
      <c r="AJ124" s="109"/>
      <c r="AK124" s="109"/>
      <c r="AL124" s="109"/>
      <c r="AM124" s="109"/>
      <c r="AN124" s="109"/>
      <c r="AO124" s="109"/>
      <c r="AP124" s="109"/>
      <c r="AQ124" s="109"/>
      <c r="AR124" s="109"/>
      <c r="AS124" s="109"/>
    </row>
    <row r="125" spans="1:45" ht="22.15" customHeight="1">
      <c r="A125" s="219"/>
      <c r="B125" s="219"/>
      <c r="C125" s="457"/>
      <c r="D125" s="219"/>
      <c r="E125" s="245">
        <v>120</v>
      </c>
      <c r="F125" s="246">
        <f t="shared" si="27"/>
        <v>1.1200000000000001</v>
      </c>
      <c r="G125" s="247">
        <f t="shared" si="32"/>
        <v>28.078405132799958</v>
      </c>
      <c r="H125" s="248">
        <f t="shared" si="28"/>
        <v>15.535714285714306</v>
      </c>
      <c r="I125" s="248">
        <f t="shared" si="33"/>
        <v>28.082507712000051</v>
      </c>
      <c r="J125" s="247">
        <f t="shared" si="29"/>
        <v>23.769642857142887</v>
      </c>
      <c r="K125" s="247">
        <f t="shared" si="26"/>
        <v>25.195821428571463</v>
      </c>
      <c r="L125" s="249">
        <f t="shared" si="30"/>
        <v>120.00000000000011</v>
      </c>
      <c r="M125" s="247">
        <f t="shared" si="34"/>
        <v>28.061596416000043</v>
      </c>
      <c r="N125" s="250">
        <f t="shared" si="31"/>
        <v>314.52408637440061</v>
      </c>
      <c r="O125" s="251">
        <f t="shared" si="35"/>
        <v>18.885156385989458</v>
      </c>
      <c r="P125" s="251">
        <f t="shared" si="36"/>
        <v>21.460404984078927</v>
      </c>
      <c r="Q125" s="109"/>
      <c r="R125" s="109"/>
      <c r="S125" s="109"/>
      <c r="T125" s="109"/>
      <c r="U125" s="109"/>
      <c r="V125" s="109"/>
      <c r="W125" s="109"/>
      <c r="X125" s="109"/>
      <c r="Y125" s="109"/>
      <c r="Z125" s="109"/>
      <c r="AA125" s="109"/>
      <c r="AB125" s="109"/>
      <c r="AC125" s="109"/>
      <c r="AD125" s="109"/>
      <c r="AE125" s="109"/>
      <c r="AF125" s="109"/>
      <c r="AG125" s="109"/>
      <c r="AH125" s="109"/>
      <c r="AI125" s="109"/>
      <c r="AJ125" s="109"/>
      <c r="AK125" s="109"/>
      <c r="AL125" s="109"/>
      <c r="AM125" s="109"/>
      <c r="AN125" s="109"/>
      <c r="AO125" s="109"/>
      <c r="AP125" s="109"/>
      <c r="AQ125" s="109"/>
      <c r="AR125" s="109"/>
      <c r="AS125" s="109"/>
    </row>
    <row r="126" spans="1:45" ht="22.15" customHeight="1">
      <c r="A126" s="219"/>
      <c r="B126" s="219"/>
      <c r="C126" s="443" t="s">
        <v>321</v>
      </c>
      <c r="D126" s="219"/>
      <c r="E126" s="253">
        <v>121</v>
      </c>
      <c r="F126" s="254">
        <f t="shared" si="27"/>
        <v>1.121</v>
      </c>
      <c r="G126" s="255">
        <f t="shared" si="32"/>
        <v>28.290128043415962</v>
      </c>
      <c r="H126" s="256">
        <f t="shared" si="28"/>
        <v>15.651204281891182</v>
      </c>
      <c r="I126" s="256">
        <f t="shared" si="33"/>
        <v>28.294218171494094</v>
      </c>
      <c r="J126" s="255">
        <f t="shared" si="29"/>
        <v>23.946342551293508</v>
      </c>
      <c r="K126" s="255">
        <f t="shared" si="26"/>
        <v>25.383123104371119</v>
      </c>
      <c r="L126" s="257">
        <f t="shared" si="30"/>
        <v>121</v>
      </c>
      <c r="M126" s="255">
        <f t="shared" si="34"/>
        <v>28.272537860316902</v>
      </c>
      <c r="N126" s="258">
        <f t="shared" si="31"/>
        <v>317.17818570244879</v>
      </c>
      <c r="O126" s="259">
        <f t="shared" si="35"/>
        <v>19.044518047132552</v>
      </c>
      <c r="P126" s="259">
        <f t="shared" si="36"/>
        <v>21.641497780832445</v>
      </c>
      <c r="Q126" s="109"/>
      <c r="R126" s="109"/>
      <c r="S126" s="109"/>
      <c r="T126" s="109"/>
      <c r="U126" s="109"/>
      <c r="V126" s="109"/>
      <c r="W126" s="109"/>
      <c r="X126" s="109"/>
      <c r="Y126" s="109"/>
      <c r="Z126" s="109"/>
      <c r="AA126" s="109"/>
      <c r="AB126" s="109"/>
      <c r="AC126" s="109"/>
      <c r="AD126" s="109"/>
      <c r="AE126" s="109"/>
      <c r="AF126" s="109"/>
      <c r="AG126" s="109"/>
      <c r="AH126" s="109"/>
      <c r="AI126" s="109"/>
      <c r="AJ126" s="109"/>
      <c r="AK126" s="109"/>
      <c r="AL126" s="109"/>
      <c r="AM126" s="109"/>
      <c r="AN126" s="109"/>
      <c r="AO126" s="109"/>
      <c r="AP126" s="109"/>
      <c r="AQ126" s="109"/>
      <c r="AR126" s="109"/>
      <c r="AS126" s="109"/>
    </row>
    <row r="127" spans="1:45" ht="22.15" customHeight="1">
      <c r="A127" s="219"/>
      <c r="B127" s="219"/>
      <c r="C127" s="444"/>
      <c r="D127" s="219"/>
      <c r="E127" s="253">
        <v>122</v>
      </c>
      <c r="F127" s="254">
        <f t="shared" si="27"/>
        <v>1.1220000000000001</v>
      </c>
      <c r="G127" s="255">
        <f t="shared" si="32"/>
        <v>28.501526816464775</v>
      </c>
      <c r="H127" s="256">
        <f t="shared" si="28"/>
        <v>15.766488413547251</v>
      </c>
      <c r="I127" s="256">
        <f t="shared" si="33"/>
        <v>28.50559481739208</v>
      </c>
      <c r="J127" s="255">
        <f t="shared" si="29"/>
        <v>24.122727272727293</v>
      </c>
      <c r="K127" s="255">
        <f t="shared" si="26"/>
        <v>25.570090909090933</v>
      </c>
      <c r="L127" s="257">
        <f t="shared" si="30"/>
        <v>122.00000000000011</v>
      </c>
      <c r="M127" s="255">
        <f t="shared" si="34"/>
        <v>28.483133476456032</v>
      </c>
      <c r="N127" s="258">
        <f t="shared" si="31"/>
        <v>319.83277385113917</v>
      </c>
      <c r="O127" s="259">
        <f t="shared" si="35"/>
        <v>19.20390905882358</v>
      </c>
      <c r="P127" s="259">
        <f t="shared" si="36"/>
        <v>21.822623930481342</v>
      </c>
      <c r="Q127" s="109"/>
      <c r="R127" s="109"/>
      <c r="S127" s="109"/>
      <c r="T127" s="109"/>
      <c r="U127" s="109"/>
      <c r="V127" s="109"/>
      <c r="W127" s="109"/>
      <c r="X127" s="109"/>
      <c r="Y127" s="109"/>
      <c r="Z127" s="109"/>
      <c r="AA127" s="109"/>
      <c r="AB127" s="109"/>
      <c r="AC127" s="109"/>
      <c r="AD127" s="109"/>
      <c r="AE127" s="109"/>
      <c r="AF127" s="109"/>
      <c r="AG127" s="109"/>
      <c r="AH127" s="109"/>
      <c r="AI127" s="109"/>
      <c r="AJ127" s="109"/>
      <c r="AK127" s="109"/>
      <c r="AL127" s="109"/>
      <c r="AM127" s="109"/>
      <c r="AN127" s="109"/>
      <c r="AO127" s="109"/>
      <c r="AP127" s="109"/>
      <c r="AQ127" s="109"/>
      <c r="AR127" s="109"/>
      <c r="AS127" s="109"/>
    </row>
    <row r="128" spans="1:45" ht="22.15" customHeight="1">
      <c r="A128" s="219"/>
      <c r="B128" s="219"/>
      <c r="C128" s="444"/>
      <c r="D128" s="219"/>
      <c r="E128" s="253">
        <v>123</v>
      </c>
      <c r="F128" s="254">
        <f t="shared" si="27"/>
        <v>1.123</v>
      </c>
      <c r="G128" s="255">
        <f t="shared" si="32"/>
        <v>28.712602546706648</v>
      </c>
      <c r="H128" s="256">
        <f t="shared" si="28"/>
        <v>15.881567230632243</v>
      </c>
      <c r="I128" s="256">
        <f t="shared" si="33"/>
        <v>28.716638509218114</v>
      </c>
      <c r="J128" s="255">
        <f t="shared" si="29"/>
        <v>24.298797862867332</v>
      </c>
      <c r="K128" s="255">
        <f t="shared" si="26"/>
        <v>25.756725734639375</v>
      </c>
      <c r="L128" s="257">
        <f t="shared" si="30"/>
        <v>123</v>
      </c>
      <c r="M128" s="255">
        <f t="shared" si="34"/>
        <v>28.693384080399028</v>
      </c>
      <c r="N128" s="258">
        <f t="shared" si="31"/>
        <v>322.4878504585194</v>
      </c>
      <c r="O128" s="259">
        <f t="shared" si="35"/>
        <v>19.363329399329622</v>
      </c>
      <c r="P128" s="259">
        <f t="shared" si="36"/>
        <v>22.003783408329117</v>
      </c>
      <c r="Q128" s="109"/>
      <c r="R128" s="109"/>
      <c r="S128" s="109"/>
      <c r="T128" s="109"/>
      <c r="U128" s="109"/>
      <c r="V128" s="109"/>
      <c r="W128" s="109"/>
      <c r="X128" s="109"/>
      <c r="Y128" s="109"/>
      <c r="Z128" s="109"/>
      <c r="AA128" s="109"/>
      <c r="AB128" s="109"/>
      <c r="AC128" s="109"/>
      <c r="AD128" s="109"/>
      <c r="AE128" s="109"/>
      <c r="AF128" s="109"/>
      <c r="AG128" s="109"/>
      <c r="AH128" s="109"/>
      <c r="AI128" s="109"/>
      <c r="AJ128" s="109"/>
      <c r="AK128" s="109"/>
      <c r="AL128" s="109"/>
      <c r="AM128" s="109"/>
      <c r="AN128" s="109"/>
      <c r="AO128" s="109"/>
      <c r="AP128" s="109"/>
      <c r="AQ128" s="109"/>
      <c r="AR128" s="109"/>
      <c r="AS128" s="109"/>
    </row>
    <row r="129" spans="1:45" ht="22.15" customHeight="1">
      <c r="A129" s="219"/>
      <c r="B129" s="219"/>
      <c r="C129" s="444"/>
      <c r="D129" s="219"/>
      <c r="E129" s="253">
        <v>124</v>
      </c>
      <c r="F129" s="254">
        <f t="shared" si="27"/>
        <v>1.1240000000000001</v>
      </c>
      <c r="G129" s="255">
        <f t="shared" si="32"/>
        <v>28.923356328902287</v>
      </c>
      <c r="H129" s="256">
        <f t="shared" si="28"/>
        <v>15.9964412811388</v>
      </c>
      <c r="I129" s="256">
        <f t="shared" si="33"/>
        <v>28.927350106496078</v>
      </c>
      <c r="J129" s="255">
        <f t="shared" si="29"/>
        <v>24.474555160142366</v>
      </c>
      <c r="K129" s="255">
        <f t="shared" si="26"/>
        <v>25.94302846975091</v>
      </c>
      <c r="L129" s="257">
        <f t="shared" si="30"/>
        <v>124.00000000000011</v>
      </c>
      <c r="M129" s="255">
        <f t="shared" si="34"/>
        <v>28.90329048812805</v>
      </c>
      <c r="N129" s="258">
        <f t="shared" si="31"/>
        <v>325.14341519701594</v>
      </c>
      <c r="O129" s="259">
        <f t="shared" si="35"/>
        <v>19.522779048981977</v>
      </c>
      <c r="P129" s="259">
        <f t="shared" si="36"/>
        <v>22.184976192024976</v>
      </c>
      <c r="Q129" s="109"/>
      <c r="R129" s="109"/>
      <c r="S129" s="109"/>
      <c r="T129" s="109"/>
      <c r="U129" s="109"/>
      <c r="V129" s="109"/>
      <c r="W129" s="109"/>
      <c r="X129" s="109"/>
      <c r="Y129" s="109"/>
      <c r="Z129" s="109"/>
      <c r="AA129" s="109"/>
      <c r="AB129" s="109"/>
      <c r="AC129" s="109"/>
      <c r="AD129" s="109"/>
      <c r="AE129" s="109"/>
      <c r="AF129" s="109"/>
      <c r="AG129" s="109"/>
      <c r="AH129" s="109"/>
      <c r="AI129" s="109"/>
      <c r="AJ129" s="109"/>
      <c r="AK129" s="109"/>
      <c r="AL129" s="109"/>
      <c r="AM129" s="109"/>
      <c r="AN129" s="109"/>
      <c r="AO129" s="109"/>
      <c r="AP129" s="109"/>
      <c r="AQ129" s="109"/>
      <c r="AR129" s="109"/>
      <c r="AS129" s="109"/>
    </row>
    <row r="130" spans="1:45" ht="22.15" customHeight="1">
      <c r="A130" s="219"/>
      <c r="B130" s="219"/>
      <c r="C130" s="444"/>
      <c r="D130" s="219"/>
      <c r="E130" s="253">
        <v>125</v>
      </c>
      <c r="F130" s="254">
        <f t="shared" si="27"/>
        <v>1.125</v>
      </c>
      <c r="G130" s="255">
        <f t="shared" si="32"/>
        <v>29.133789257812509</v>
      </c>
      <c r="H130" s="256">
        <f t="shared" si="28"/>
        <v>16.111111111111114</v>
      </c>
      <c r="I130" s="256">
        <f t="shared" si="33"/>
        <v>29.137730468750192</v>
      </c>
      <c r="J130" s="255">
        <f t="shared" si="29"/>
        <v>24.650000000000006</v>
      </c>
      <c r="K130" s="255">
        <f t="shared" si="26"/>
        <v>26.129000000000008</v>
      </c>
      <c r="L130" s="257">
        <f t="shared" si="30"/>
        <v>125</v>
      </c>
      <c r="M130" s="255">
        <f t="shared" si="34"/>
        <v>29.112853515625034</v>
      </c>
      <c r="N130" s="258">
        <f t="shared" si="31"/>
        <v>327.79946777343969</v>
      </c>
      <c r="O130" s="259">
        <f t="shared" si="35"/>
        <v>19.682257990176527</v>
      </c>
      <c r="P130" s="259">
        <f t="shared" si="36"/>
        <v>22.366202261564236</v>
      </c>
      <c r="Q130" s="109"/>
      <c r="R130" s="109"/>
      <c r="S130" s="109"/>
      <c r="T130" s="109"/>
      <c r="U130" s="109"/>
      <c r="V130" s="109"/>
      <c r="W130" s="109"/>
      <c r="X130" s="109"/>
      <c r="Y130" s="109"/>
      <c r="Z130" s="109"/>
      <c r="AA130" s="109"/>
      <c r="AB130" s="109"/>
      <c r="AC130" s="109"/>
      <c r="AD130" s="109"/>
      <c r="AE130" s="109"/>
      <c r="AF130" s="109"/>
      <c r="AG130" s="109"/>
      <c r="AH130" s="109"/>
      <c r="AI130" s="109"/>
      <c r="AJ130" s="109"/>
      <c r="AK130" s="109"/>
      <c r="AL130" s="109"/>
      <c r="AM130" s="109"/>
      <c r="AN130" s="109"/>
      <c r="AO130" s="109"/>
      <c r="AP130" s="109"/>
      <c r="AQ130" s="109"/>
      <c r="AR130" s="109"/>
      <c r="AS130" s="109"/>
    </row>
    <row r="131" spans="1:45" ht="22.15" customHeight="1">
      <c r="A131" s="219"/>
      <c r="B131" s="219"/>
      <c r="C131" s="444"/>
      <c r="D131" s="219"/>
      <c r="E131" s="253">
        <v>126</v>
      </c>
      <c r="F131" s="254">
        <f t="shared" si="27"/>
        <v>1.1259999999999999</v>
      </c>
      <c r="G131" s="255">
        <f t="shared" si="32"/>
        <v>29.343902428197453</v>
      </c>
      <c r="H131" s="256">
        <f t="shared" si="28"/>
        <v>16.225577264653623</v>
      </c>
      <c r="I131" s="256">
        <f t="shared" si="33"/>
        <v>29.347780455504108</v>
      </c>
      <c r="J131" s="255">
        <f t="shared" si="29"/>
        <v>24.825133214920044</v>
      </c>
      <c r="K131" s="255">
        <f t="shared" si="26"/>
        <v>26.314641207815246</v>
      </c>
      <c r="L131" s="257">
        <f t="shared" si="30"/>
        <v>125.99999999999989</v>
      </c>
      <c r="M131" s="255">
        <f t="shared" si="34"/>
        <v>29.322073978872027</v>
      </c>
      <c r="N131" s="258">
        <f t="shared" si="31"/>
        <v>330.45600792897619</v>
      </c>
      <c r="O131" s="259">
        <f t="shared" si="35"/>
        <v>19.841766207373119</v>
      </c>
      <c r="P131" s="259">
        <f t="shared" si="36"/>
        <v>22.547461599287637</v>
      </c>
      <c r="Q131" s="109"/>
      <c r="R131" s="109"/>
      <c r="S131" s="109"/>
      <c r="T131" s="109"/>
      <c r="U131" s="109"/>
      <c r="V131" s="109"/>
      <c r="W131" s="109"/>
      <c r="X131" s="109"/>
      <c r="Y131" s="109"/>
      <c r="Z131" s="109"/>
      <c r="AA131" s="109"/>
      <c r="AB131" s="109"/>
      <c r="AC131" s="109"/>
      <c r="AD131" s="109"/>
      <c r="AE131" s="109"/>
      <c r="AF131" s="109"/>
      <c r="AG131" s="109"/>
      <c r="AH131" s="109"/>
      <c r="AI131" s="109"/>
      <c r="AJ131" s="109"/>
      <c r="AK131" s="109"/>
      <c r="AL131" s="109"/>
      <c r="AM131" s="109"/>
      <c r="AN131" s="109"/>
      <c r="AO131" s="109"/>
      <c r="AP131" s="109"/>
      <c r="AQ131" s="109"/>
      <c r="AR131" s="109"/>
      <c r="AS131" s="109"/>
    </row>
    <row r="132" spans="1:45" ht="22.15" customHeight="1">
      <c r="A132" s="219"/>
      <c r="B132" s="219"/>
      <c r="C132" s="444"/>
      <c r="D132" s="219"/>
      <c r="E132" s="253">
        <v>127</v>
      </c>
      <c r="F132" s="254">
        <f t="shared" si="27"/>
        <v>1.127</v>
      </c>
      <c r="G132" s="255">
        <f t="shared" si="32"/>
        <v>29.553696934818163</v>
      </c>
      <c r="H132" s="256">
        <f t="shared" si="28"/>
        <v>16.339840283939651</v>
      </c>
      <c r="I132" s="256">
        <f t="shared" si="33"/>
        <v>29.55750092628216</v>
      </c>
      <c r="J132" s="255">
        <f t="shared" si="29"/>
        <v>24.999955634427668</v>
      </c>
      <c r="K132" s="255">
        <f t="shared" si="26"/>
        <v>26.499952972493329</v>
      </c>
      <c r="L132" s="257">
        <f t="shared" si="30"/>
        <v>127</v>
      </c>
      <c r="M132" s="255">
        <f t="shared" si="34"/>
        <v>29.530952693851077</v>
      </c>
      <c r="N132" s="258">
        <f t="shared" si="31"/>
        <v>333.11303543919996</v>
      </c>
      <c r="O132" s="259">
        <f t="shared" si="35"/>
        <v>20.001303687096446</v>
      </c>
      <c r="P132" s="259">
        <f t="shared" si="36"/>
        <v>22.728754189882324</v>
      </c>
      <c r="Q132" s="109"/>
      <c r="R132" s="109"/>
      <c r="S132" s="109"/>
      <c r="T132" s="109"/>
      <c r="U132" s="109"/>
      <c r="V132" s="109"/>
      <c r="W132" s="109"/>
      <c r="X132" s="109"/>
      <c r="Y132" s="109"/>
      <c r="Z132" s="109"/>
      <c r="AA132" s="109"/>
      <c r="AB132" s="109"/>
      <c r="AC132" s="109"/>
      <c r="AD132" s="109"/>
      <c r="AE132" s="109"/>
      <c r="AF132" s="109"/>
      <c r="AG132" s="109"/>
      <c r="AH132" s="109"/>
      <c r="AI132" s="109"/>
      <c r="AJ132" s="109"/>
      <c r="AK132" s="109"/>
      <c r="AL132" s="109"/>
      <c r="AM132" s="109"/>
      <c r="AN132" s="109"/>
      <c r="AO132" s="109"/>
      <c r="AP132" s="109"/>
      <c r="AQ132" s="109"/>
      <c r="AR132" s="109"/>
      <c r="AS132" s="109"/>
    </row>
    <row r="133" spans="1:45" ht="22.15" customHeight="1">
      <c r="A133" s="219"/>
      <c r="B133" s="219"/>
      <c r="C133" s="444"/>
      <c r="D133" s="219"/>
      <c r="E133" s="253">
        <v>128</v>
      </c>
      <c r="F133" s="254">
        <f t="shared" si="27"/>
        <v>1.1279999999999999</v>
      </c>
      <c r="G133" s="255">
        <f t="shared" ref="G133:G155" si="37">+((($Z$18*F133-$Z$19)*F133+$Z$20)*F133-$Z$21)</f>
        <v>29.763173872435118</v>
      </c>
      <c r="H133" s="256">
        <f t="shared" si="28"/>
        <v>16.453900709219852</v>
      </c>
      <c r="I133" s="256">
        <f t="shared" ref="I133:I155" si="38">($Z$11*F133^3)-($Z$12*F133^2)+($Z$13*F133)-$Z$14</f>
        <v>29.766892740608114</v>
      </c>
      <c r="J133" s="255">
        <f t="shared" si="29"/>
        <v>25.174468085106373</v>
      </c>
      <c r="K133" s="255">
        <f t="shared" si="26"/>
        <v>26.684936170212758</v>
      </c>
      <c r="L133" s="257">
        <f t="shared" si="30"/>
        <v>127.99999999999989</v>
      </c>
      <c r="M133" s="255">
        <f t="shared" ref="M133:M155" si="39">+((($Z$22*F133-$Z$23)*F133+$Z$24)*F133-$Z$25)</f>
        <v>29.73949047654412</v>
      </c>
      <c r="N133" s="258">
        <f t="shared" si="31"/>
        <v>335.77055011405952</v>
      </c>
      <c r="O133" s="259">
        <f t="shared" ref="O133:O155" si="40">+P133*$Z$31</f>
        <v>20.160870417935119</v>
      </c>
      <c r="P133" s="259">
        <f t="shared" ref="P133:P155" si="41">+(((N133/$Z$26)*$Z$27)/$Z$28)/$Z$29</f>
        <v>22.910080020380818</v>
      </c>
      <c r="Q133" s="109"/>
      <c r="R133" s="109"/>
      <c r="S133" s="109"/>
      <c r="T133" s="109"/>
      <c r="U133" s="109"/>
      <c r="V133" s="109"/>
      <c r="W133" s="109"/>
      <c r="X133" s="109"/>
      <c r="Y133" s="109"/>
      <c r="Z133" s="109"/>
      <c r="AA133" s="109"/>
      <c r="AB133" s="109"/>
      <c r="AC133" s="109"/>
      <c r="AD133" s="109"/>
      <c r="AE133" s="109"/>
      <c r="AF133" s="109"/>
      <c r="AG133" s="109"/>
      <c r="AH133" s="109"/>
      <c r="AI133" s="109"/>
      <c r="AJ133" s="109"/>
      <c r="AK133" s="109"/>
      <c r="AL133" s="109"/>
      <c r="AM133" s="109"/>
      <c r="AN133" s="109"/>
      <c r="AO133" s="109"/>
      <c r="AP133" s="109"/>
      <c r="AQ133" s="109"/>
      <c r="AR133" s="109"/>
      <c r="AS133" s="109"/>
    </row>
    <row r="134" spans="1:45" ht="22.15" customHeight="1">
      <c r="A134" s="219"/>
      <c r="B134" s="219"/>
      <c r="C134" s="444"/>
      <c r="D134" s="219"/>
      <c r="E134" s="253">
        <v>129</v>
      </c>
      <c r="F134" s="254">
        <f t="shared" si="27"/>
        <v>1.129</v>
      </c>
      <c r="G134" s="255">
        <f t="shared" si="37"/>
        <v>29.97233433580891</v>
      </c>
      <c r="H134" s="256">
        <f t="shared" si="28"/>
        <v>16.567759078830818</v>
      </c>
      <c r="I134" s="256">
        <f t="shared" si="38"/>
        <v>29.975956758006191</v>
      </c>
      <c r="J134" s="255">
        <f t="shared" si="29"/>
        <v>25.348671390611152</v>
      </c>
      <c r="K134" s="255">
        <f t="shared" ref="K134:K155" si="42">+J134*$K$2</f>
        <v>26.869591674047822</v>
      </c>
      <c r="L134" s="257">
        <f t="shared" si="30"/>
        <v>129</v>
      </c>
      <c r="M134" s="255">
        <f t="shared" si="39"/>
        <v>29.947688142933089</v>
      </c>
      <c r="N134" s="258">
        <f t="shared" si="31"/>
        <v>338.4285517978899</v>
      </c>
      <c r="O134" s="259">
        <f t="shared" si="40"/>
        <v>20.320466390542467</v>
      </c>
      <c r="P134" s="259">
        <f t="shared" si="41"/>
        <v>23.091439080161894</v>
      </c>
      <c r="Q134" s="109"/>
      <c r="R134" s="109"/>
      <c r="S134" s="109"/>
      <c r="T134" s="109"/>
      <c r="U134" s="109"/>
      <c r="V134" s="109"/>
      <c r="W134" s="109"/>
      <c r="X134" s="109"/>
      <c r="Y134" s="109"/>
      <c r="Z134" s="109"/>
      <c r="AA134" s="109"/>
      <c r="AB134" s="109"/>
      <c r="AC134" s="109"/>
      <c r="AD134" s="109"/>
      <c r="AE134" s="109"/>
      <c r="AF134" s="109"/>
      <c r="AG134" s="109"/>
      <c r="AH134" s="109"/>
      <c r="AI134" s="109"/>
      <c r="AJ134" s="109"/>
      <c r="AK134" s="109"/>
      <c r="AL134" s="109"/>
      <c r="AM134" s="109"/>
      <c r="AN134" s="109"/>
      <c r="AO134" s="109"/>
      <c r="AP134" s="109"/>
      <c r="AQ134" s="109"/>
      <c r="AR134" s="109"/>
      <c r="AS134" s="109"/>
    </row>
    <row r="135" spans="1:45" ht="22.15" customHeight="1">
      <c r="A135" s="219"/>
      <c r="B135" s="219"/>
      <c r="C135" s="444"/>
      <c r="D135" s="219"/>
      <c r="E135" s="253">
        <v>130</v>
      </c>
      <c r="F135" s="254">
        <f t="shared" si="27"/>
        <v>1.1299999999999999</v>
      </c>
      <c r="G135" s="255">
        <f t="shared" si="37"/>
        <v>30.181179419699902</v>
      </c>
      <c r="H135" s="256">
        <f t="shared" si="28"/>
        <v>16.681415929203524</v>
      </c>
      <c r="I135" s="256">
        <f t="shared" si="38"/>
        <v>30.184693838000271</v>
      </c>
      <c r="J135" s="255">
        <f t="shared" si="29"/>
        <v>25.522566371681393</v>
      </c>
      <c r="K135" s="255">
        <f t="shared" si="42"/>
        <v>27.053920353982278</v>
      </c>
      <c r="L135" s="257">
        <f t="shared" si="30"/>
        <v>129.99999999999989</v>
      </c>
      <c r="M135" s="255">
        <f t="shared" si="39"/>
        <v>30.155546508999919</v>
      </c>
      <c r="N135" s="258">
        <f t="shared" si="31"/>
        <v>341.08704036940304</v>
      </c>
      <c r="O135" s="259">
        <f t="shared" si="40"/>
        <v>20.480091597635912</v>
      </c>
      <c r="P135" s="259">
        <f t="shared" si="41"/>
        <v>23.272831360949901</v>
      </c>
      <c r="Q135" s="109"/>
      <c r="R135" s="109"/>
      <c r="S135" s="109"/>
      <c r="T135" s="109"/>
      <c r="U135" s="109"/>
      <c r="V135" s="109"/>
      <c r="W135" s="109"/>
      <c r="X135" s="109"/>
      <c r="Y135" s="109"/>
      <c r="Z135" s="109"/>
      <c r="AA135" s="109"/>
      <c r="AB135" s="109"/>
      <c r="AC135" s="109"/>
      <c r="AD135" s="109"/>
      <c r="AE135" s="109"/>
      <c r="AF135" s="109"/>
      <c r="AG135" s="109"/>
      <c r="AH135" s="109"/>
      <c r="AI135" s="109"/>
      <c r="AJ135" s="109"/>
      <c r="AK135" s="109"/>
      <c r="AL135" s="109"/>
      <c r="AM135" s="109"/>
      <c r="AN135" s="109"/>
      <c r="AO135" s="109"/>
      <c r="AP135" s="109"/>
      <c r="AQ135" s="109"/>
      <c r="AR135" s="109"/>
      <c r="AS135" s="109"/>
    </row>
    <row r="136" spans="1:45" ht="22.15" customHeight="1">
      <c r="A136" s="219"/>
      <c r="B136" s="219"/>
      <c r="C136" s="444"/>
      <c r="D136" s="219"/>
      <c r="E136" s="253">
        <v>131</v>
      </c>
      <c r="F136" s="254">
        <f t="shared" si="27"/>
        <v>1.131</v>
      </c>
      <c r="G136" s="255">
        <f t="shared" si="37"/>
        <v>30.389710218869027</v>
      </c>
      <c r="H136" s="256">
        <f t="shared" si="28"/>
        <v>16.794871794871796</v>
      </c>
      <c r="I136" s="256">
        <f t="shared" si="38"/>
        <v>30.393104840114233</v>
      </c>
      <c r="J136" s="255">
        <f t="shared" si="29"/>
        <v>25.696153846153848</v>
      </c>
      <c r="K136" s="255">
        <f t="shared" si="42"/>
        <v>27.237923076923082</v>
      </c>
      <c r="L136" s="257">
        <f t="shared" si="30"/>
        <v>131</v>
      </c>
      <c r="M136" s="255">
        <f t="shared" si="39"/>
        <v>30.363066390726999</v>
      </c>
      <c r="N136" s="258">
        <f t="shared" si="31"/>
        <v>343.74601574169196</v>
      </c>
      <c r="O136" s="259">
        <f t="shared" si="40"/>
        <v>20.639746033997259</v>
      </c>
      <c r="P136" s="259">
        <f t="shared" si="41"/>
        <v>23.454256856815068</v>
      </c>
      <c r="Q136" s="109"/>
      <c r="R136" s="109"/>
      <c r="S136" s="109"/>
      <c r="T136" s="109"/>
      <c r="U136" s="109"/>
      <c r="V136" s="109"/>
      <c r="W136" s="109"/>
      <c r="X136" s="109"/>
      <c r="Y136" s="109"/>
      <c r="Z136" s="109"/>
      <c r="AA136" s="109"/>
      <c r="AB136" s="109"/>
      <c r="AC136" s="109"/>
      <c r="AD136" s="109"/>
      <c r="AE136" s="109"/>
      <c r="AF136" s="109"/>
      <c r="AG136" s="109"/>
      <c r="AH136" s="109"/>
      <c r="AI136" s="109"/>
      <c r="AJ136" s="109"/>
      <c r="AK136" s="109"/>
      <c r="AL136" s="109"/>
      <c r="AM136" s="109"/>
      <c r="AN136" s="109"/>
      <c r="AO136" s="109"/>
      <c r="AP136" s="109"/>
      <c r="AQ136" s="109"/>
      <c r="AR136" s="109"/>
      <c r="AS136" s="109"/>
    </row>
    <row r="137" spans="1:45" ht="22.15" customHeight="1">
      <c r="A137" s="219"/>
      <c r="B137" s="219"/>
      <c r="C137" s="444"/>
      <c r="D137" s="219"/>
      <c r="E137" s="253">
        <v>132</v>
      </c>
      <c r="F137" s="254">
        <f t="shared" si="27"/>
        <v>1.1319999999999999</v>
      </c>
      <c r="G137" s="255">
        <f t="shared" si="37"/>
        <v>30.597927828076763</v>
      </c>
      <c r="H137" s="256">
        <f t="shared" si="28"/>
        <v>16.908127208480551</v>
      </c>
      <c r="I137" s="256">
        <f t="shared" si="38"/>
        <v>30.601190623871958</v>
      </c>
      <c r="J137" s="255">
        <f t="shared" si="29"/>
        <v>25.869434628975242</v>
      </c>
      <c r="K137" s="255">
        <f t="shared" si="42"/>
        <v>27.421600706713757</v>
      </c>
      <c r="L137" s="257">
        <f t="shared" si="30"/>
        <v>131.99999999999989</v>
      </c>
      <c r="M137" s="255">
        <f t="shared" si="39"/>
        <v>30.570248604095923</v>
      </c>
      <c r="N137" s="258">
        <f t="shared" si="31"/>
        <v>346.40547786223055</v>
      </c>
      <c r="O137" s="259">
        <f t="shared" si="40"/>
        <v>20.799429696472636</v>
      </c>
      <c r="P137" s="259">
        <f t="shared" si="41"/>
        <v>23.635715564173449</v>
      </c>
      <c r="Q137" s="109"/>
      <c r="R137" s="109"/>
      <c r="S137" s="109"/>
      <c r="T137" s="109"/>
      <c r="U137" s="109"/>
      <c r="V137" s="109"/>
      <c r="W137" s="109"/>
      <c r="X137" s="109"/>
      <c r="Y137" s="109"/>
      <c r="Z137" s="109"/>
      <c r="AA137" s="109"/>
      <c r="AB137" s="109"/>
      <c r="AC137" s="109"/>
      <c r="AD137" s="109"/>
      <c r="AE137" s="109"/>
      <c r="AF137" s="109"/>
      <c r="AG137" s="109"/>
      <c r="AH137" s="109"/>
      <c r="AI137" s="109"/>
      <c r="AJ137" s="109"/>
      <c r="AK137" s="109"/>
      <c r="AL137" s="109"/>
      <c r="AM137" s="109"/>
      <c r="AN137" s="109"/>
      <c r="AO137" s="109"/>
      <c r="AP137" s="109"/>
      <c r="AQ137" s="109"/>
      <c r="AR137" s="109"/>
      <c r="AS137" s="109"/>
    </row>
    <row r="138" spans="1:45" ht="22.15" customHeight="1">
      <c r="A138" s="219"/>
      <c r="B138" s="219"/>
      <c r="C138" s="444"/>
      <c r="D138" s="219"/>
      <c r="E138" s="253">
        <v>133</v>
      </c>
      <c r="F138" s="254">
        <f t="shared" si="27"/>
        <v>1.133</v>
      </c>
      <c r="G138" s="255">
        <f t="shared" si="37"/>
        <v>30.805833342083702</v>
      </c>
      <c r="H138" s="256">
        <f t="shared" si="28"/>
        <v>17.021182700794355</v>
      </c>
      <c r="I138" s="256">
        <f t="shared" si="38"/>
        <v>30.808952048798005</v>
      </c>
      <c r="J138" s="255">
        <f t="shared" si="29"/>
        <v>26.042409532215363</v>
      </c>
      <c r="K138" s="255">
        <f t="shared" si="42"/>
        <v>27.604954104148284</v>
      </c>
      <c r="L138" s="257">
        <f t="shared" si="30"/>
        <v>133</v>
      </c>
      <c r="M138" s="255">
        <f t="shared" si="39"/>
        <v>30.777093965088966</v>
      </c>
      <c r="N138" s="258">
        <f t="shared" si="31"/>
        <v>349.06542671288139</v>
      </c>
      <c r="O138" s="259">
        <f t="shared" si="40"/>
        <v>20.959142583973016</v>
      </c>
      <c r="P138" s="259">
        <f t="shared" si="41"/>
        <v>23.817207481787516</v>
      </c>
      <c r="Q138" s="109"/>
      <c r="R138" s="109"/>
      <c r="S138" s="109"/>
      <c r="T138" s="109"/>
      <c r="U138" s="109"/>
      <c r="V138" s="109"/>
      <c r="W138" s="109"/>
      <c r="X138" s="109"/>
      <c r="Y138" s="109"/>
      <c r="Z138" s="109"/>
      <c r="AA138" s="109"/>
      <c r="AB138" s="109"/>
      <c r="AC138" s="109"/>
      <c r="AD138" s="109"/>
      <c r="AE138" s="109"/>
      <c r="AF138" s="109"/>
      <c r="AG138" s="109"/>
      <c r="AH138" s="109"/>
      <c r="AI138" s="109"/>
      <c r="AJ138" s="109"/>
      <c r="AK138" s="109"/>
      <c r="AL138" s="109"/>
      <c r="AM138" s="109"/>
      <c r="AN138" s="109"/>
      <c r="AO138" s="109"/>
      <c r="AP138" s="109"/>
      <c r="AQ138" s="109"/>
      <c r="AR138" s="109"/>
      <c r="AS138" s="109"/>
    </row>
    <row r="139" spans="1:45" ht="22.15" customHeight="1">
      <c r="A139" s="219"/>
      <c r="B139" s="219"/>
      <c r="C139" s="444"/>
      <c r="D139" s="219"/>
      <c r="E139" s="253">
        <v>134</v>
      </c>
      <c r="F139" s="254">
        <f t="shared" si="27"/>
        <v>1.1339999999999999</v>
      </c>
      <c r="G139" s="255">
        <f t="shared" si="37"/>
        <v>31.01342785565032</v>
      </c>
      <c r="H139" s="256">
        <f t="shared" si="28"/>
        <v>17.134038800705454</v>
      </c>
      <c r="I139" s="256">
        <f t="shared" si="38"/>
        <v>31.016389974416029</v>
      </c>
      <c r="J139" s="255">
        <f t="shared" si="29"/>
        <v>26.215079365079344</v>
      </c>
      <c r="K139" s="255">
        <f t="shared" si="42"/>
        <v>27.787984126984107</v>
      </c>
      <c r="L139" s="257">
        <f t="shared" si="30"/>
        <v>133.99999999999989</v>
      </c>
      <c r="M139" s="255">
        <f t="shared" si="39"/>
        <v>30.983603289688062</v>
      </c>
      <c r="N139" s="258">
        <f t="shared" si="31"/>
        <v>351.72586230987775</v>
      </c>
      <c r="O139" s="259">
        <f t="shared" si="40"/>
        <v>21.118884697473099</v>
      </c>
      <c r="P139" s="259">
        <f t="shared" si="41"/>
        <v>23.998732610764886</v>
      </c>
      <c r="Q139" s="109"/>
      <c r="R139" s="109"/>
      <c r="S139" s="109"/>
      <c r="T139" s="109"/>
      <c r="U139" s="109"/>
      <c r="V139" s="109"/>
      <c r="W139" s="109"/>
      <c r="X139" s="109"/>
      <c r="Y139" s="109"/>
      <c r="Z139" s="109"/>
      <c r="AA139" s="109"/>
      <c r="AB139" s="109"/>
      <c r="AC139" s="109"/>
      <c r="AD139" s="109"/>
      <c r="AE139" s="109"/>
      <c r="AF139" s="109"/>
      <c r="AG139" s="109"/>
      <c r="AH139" s="109"/>
      <c r="AI139" s="109"/>
      <c r="AJ139" s="109"/>
      <c r="AK139" s="109"/>
      <c r="AL139" s="109"/>
      <c r="AM139" s="109"/>
      <c r="AN139" s="109"/>
      <c r="AO139" s="109"/>
      <c r="AP139" s="109"/>
      <c r="AQ139" s="109"/>
      <c r="AR139" s="109"/>
      <c r="AS139" s="109"/>
    </row>
    <row r="140" spans="1:45" ht="22.15" customHeight="1">
      <c r="A140" s="219"/>
      <c r="B140" s="219"/>
      <c r="C140" s="444"/>
      <c r="D140" s="219"/>
      <c r="E140" s="253">
        <v>135</v>
      </c>
      <c r="F140" s="254">
        <f t="shared" si="27"/>
        <v>1.135</v>
      </c>
      <c r="G140" s="255">
        <f t="shared" si="37"/>
        <v>31.220712463537552</v>
      </c>
      <c r="H140" s="256">
        <f t="shared" si="28"/>
        <v>17.246696035242294</v>
      </c>
      <c r="I140" s="256">
        <f t="shared" si="38"/>
        <v>31.223505260250022</v>
      </c>
      <c r="J140" s="255">
        <f t="shared" si="29"/>
        <v>26.387444933920712</v>
      </c>
      <c r="K140" s="255">
        <f t="shared" si="42"/>
        <v>27.970691629955954</v>
      </c>
      <c r="L140" s="257">
        <f t="shared" si="30"/>
        <v>135</v>
      </c>
      <c r="M140" s="255">
        <f t="shared" si="39"/>
        <v>31.189777393875033</v>
      </c>
      <c r="N140" s="258">
        <f t="shared" si="31"/>
        <v>354.38678470383775</v>
      </c>
      <c r="O140" s="259">
        <f t="shared" si="40"/>
        <v>21.278656040012176</v>
      </c>
      <c r="P140" s="259">
        <f t="shared" si="41"/>
        <v>24.180290954559293</v>
      </c>
      <c r="Q140" s="109"/>
      <c r="R140" s="109"/>
      <c r="S140" s="109"/>
      <c r="T140" s="109"/>
      <c r="U140" s="109"/>
      <c r="V140" s="109"/>
      <c r="W140" s="109"/>
      <c r="X140" s="109"/>
      <c r="Y140" s="109"/>
      <c r="Z140" s="109"/>
      <c r="AA140" s="109"/>
      <c r="AB140" s="109"/>
      <c r="AC140" s="109"/>
      <c r="AD140" s="109"/>
      <c r="AE140" s="109"/>
      <c r="AF140" s="109"/>
      <c r="AG140" s="109"/>
      <c r="AH140" s="109"/>
      <c r="AI140" s="109"/>
      <c r="AJ140" s="109"/>
      <c r="AK140" s="109"/>
      <c r="AL140" s="109"/>
      <c r="AM140" s="109"/>
      <c r="AN140" s="109"/>
      <c r="AO140" s="109"/>
      <c r="AP140" s="109"/>
      <c r="AQ140" s="109"/>
      <c r="AR140" s="109"/>
      <c r="AS140" s="109"/>
    </row>
    <row r="141" spans="1:45" ht="22.15" customHeight="1">
      <c r="A141" s="219"/>
      <c r="B141" s="219"/>
      <c r="C141" s="444"/>
      <c r="D141" s="219"/>
      <c r="E141" s="253">
        <v>136</v>
      </c>
      <c r="F141" s="254">
        <f t="shared" si="27"/>
        <v>1.1359999999999999</v>
      </c>
      <c r="G141" s="255">
        <f t="shared" si="37"/>
        <v>31.427688260505533</v>
      </c>
      <c r="H141" s="256">
        <f t="shared" si="28"/>
        <v>17.359154929577457</v>
      </c>
      <c r="I141" s="256">
        <f t="shared" si="38"/>
        <v>31.430298765823977</v>
      </c>
      <c r="J141" s="255">
        <f t="shared" si="29"/>
        <v>26.559507042253511</v>
      </c>
      <c r="K141" s="255">
        <f t="shared" si="42"/>
        <v>28.153077464788723</v>
      </c>
      <c r="L141" s="257">
        <f t="shared" si="30"/>
        <v>135.99999999999989</v>
      </c>
      <c r="M141" s="255">
        <f t="shared" si="39"/>
        <v>31.39561709363204</v>
      </c>
      <c r="N141" s="258">
        <f t="shared" si="31"/>
        <v>357.04819397976036</v>
      </c>
      <c r="O141" s="259">
        <f t="shared" si="40"/>
        <v>21.438456616693898</v>
      </c>
      <c r="P141" s="259">
        <f t="shared" si="41"/>
        <v>24.36188251897034</v>
      </c>
      <c r="Q141" s="109"/>
      <c r="R141" s="109"/>
      <c r="S141" s="109"/>
      <c r="T141" s="109"/>
      <c r="U141" s="109"/>
      <c r="V141" s="109"/>
      <c r="W141" s="109"/>
      <c r="X141" s="109"/>
      <c r="Y141" s="109"/>
      <c r="Z141" s="109"/>
      <c r="AA141" s="109"/>
      <c r="AB141" s="109"/>
      <c r="AC141" s="109"/>
      <c r="AD141" s="109"/>
      <c r="AE141" s="109"/>
      <c r="AF141" s="109"/>
      <c r="AG141" s="109"/>
      <c r="AH141" s="109"/>
      <c r="AI141" s="109"/>
      <c r="AJ141" s="109"/>
      <c r="AK141" s="109"/>
      <c r="AL141" s="109"/>
      <c r="AM141" s="109"/>
      <c r="AN141" s="109"/>
      <c r="AO141" s="109"/>
      <c r="AP141" s="109"/>
      <c r="AQ141" s="109"/>
      <c r="AR141" s="109"/>
      <c r="AS141" s="109"/>
    </row>
    <row r="142" spans="1:45" ht="22.15" customHeight="1">
      <c r="A142" s="219"/>
      <c r="B142" s="219"/>
      <c r="C142" s="444"/>
      <c r="D142" s="219"/>
      <c r="E142" s="253">
        <v>137</v>
      </c>
      <c r="F142" s="254">
        <f t="shared" si="27"/>
        <v>1.137</v>
      </c>
      <c r="G142" s="255">
        <f t="shared" si="37"/>
        <v>31.634356341315311</v>
      </c>
      <c r="H142" s="256">
        <f t="shared" si="28"/>
        <v>17.471416007036055</v>
      </c>
      <c r="I142" s="256">
        <f t="shared" si="38"/>
        <v>31.636771350662116</v>
      </c>
      <c r="J142" s="255">
        <f t="shared" si="29"/>
        <v>26.731266490765165</v>
      </c>
      <c r="K142" s="255">
        <f t="shared" si="42"/>
        <v>28.335142480211076</v>
      </c>
      <c r="L142" s="257">
        <f t="shared" si="30"/>
        <v>137</v>
      </c>
      <c r="M142" s="255">
        <f t="shared" si="39"/>
        <v>31.601123204941018</v>
      </c>
      <c r="N142" s="258">
        <f t="shared" si="31"/>
        <v>359.71009025702824</v>
      </c>
      <c r="O142" s="259">
        <f t="shared" si="40"/>
        <v>21.598286434686433</v>
      </c>
      <c r="P142" s="259">
        <f t="shared" si="41"/>
        <v>24.543507312143674</v>
      </c>
      <c r="Q142" s="109"/>
      <c r="R142" s="109"/>
      <c r="S142" s="109"/>
      <c r="T142" s="109"/>
      <c r="U142" s="109"/>
      <c r="V142" s="109"/>
      <c r="W142" s="109"/>
      <c r="X142" s="109"/>
      <c r="Y142" s="109"/>
      <c r="Z142" s="109"/>
      <c r="AA142" s="109"/>
      <c r="AB142" s="109"/>
      <c r="AC142" s="109"/>
      <c r="AD142" s="109"/>
      <c r="AE142" s="109"/>
      <c r="AF142" s="109"/>
      <c r="AG142" s="109"/>
      <c r="AH142" s="109"/>
      <c r="AI142" s="109"/>
      <c r="AJ142" s="109"/>
      <c r="AK142" s="109"/>
      <c r="AL142" s="109"/>
      <c r="AM142" s="109"/>
      <c r="AN142" s="109"/>
      <c r="AO142" s="109"/>
      <c r="AP142" s="109"/>
      <c r="AQ142" s="109"/>
      <c r="AR142" s="109"/>
      <c r="AS142" s="109"/>
    </row>
    <row r="143" spans="1:45" ht="22.15" customHeight="1">
      <c r="A143" s="219"/>
      <c r="B143" s="219"/>
      <c r="C143" s="444"/>
      <c r="D143" s="219"/>
      <c r="E143" s="253">
        <v>138</v>
      </c>
      <c r="F143" s="254">
        <f t="shared" si="27"/>
        <v>1.1379999999999999</v>
      </c>
      <c r="G143" s="255">
        <f t="shared" si="37"/>
        <v>31.840717800727134</v>
      </c>
      <c r="H143" s="256">
        <f t="shared" si="28"/>
        <v>17.583479789103677</v>
      </c>
      <c r="I143" s="256">
        <f t="shared" si="38"/>
        <v>31.84292387428809</v>
      </c>
      <c r="J143" s="255">
        <f t="shared" si="29"/>
        <v>26.902724077328628</v>
      </c>
      <c r="K143" s="255">
        <f t="shared" si="42"/>
        <v>28.516887521968346</v>
      </c>
      <c r="L143" s="257">
        <f t="shared" si="30"/>
        <v>137.99999999999989</v>
      </c>
      <c r="M143" s="255">
        <f t="shared" si="39"/>
        <v>31.806296543784015</v>
      </c>
      <c r="N143" s="258">
        <f t="shared" si="31"/>
        <v>362.37247368939842</v>
      </c>
      <c r="O143" s="259">
        <f t="shared" si="40"/>
        <v>21.758145503221897</v>
      </c>
      <c r="P143" s="259">
        <f t="shared" si="41"/>
        <v>24.725165344570335</v>
      </c>
      <c r="Q143" s="109"/>
      <c r="R143" s="109"/>
      <c r="S143" s="109"/>
      <c r="T143" s="109"/>
      <c r="U143" s="109"/>
      <c r="V143" s="109"/>
      <c r="W143" s="109"/>
      <c r="X143" s="109"/>
      <c r="Y143" s="109"/>
      <c r="Z143" s="109"/>
      <c r="AA143" s="109"/>
      <c r="AB143" s="109"/>
      <c r="AC143" s="109"/>
      <c r="AD143" s="109"/>
      <c r="AE143" s="109"/>
      <c r="AF143" s="109"/>
      <c r="AG143" s="109"/>
      <c r="AH143" s="109"/>
      <c r="AI143" s="109"/>
      <c r="AJ143" s="109"/>
      <c r="AK143" s="109"/>
      <c r="AL143" s="109"/>
      <c r="AM143" s="109"/>
      <c r="AN143" s="109"/>
      <c r="AO143" s="109"/>
      <c r="AP143" s="109"/>
      <c r="AQ143" s="109"/>
      <c r="AR143" s="109"/>
      <c r="AS143" s="109"/>
    </row>
    <row r="144" spans="1:45" ht="22.15" customHeight="1">
      <c r="A144" s="219"/>
      <c r="B144" s="219"/>
      <c r="C144" s="444"/>
      <c r="D144" s="219"/>
      <c r="E144" s="253">
        <v>139</v>
      </c>
      <c r="F144" s="254">
        <f t="shared" si="27"/>
        <v>1.139</v>
      </c>
      <c r="G144" s="255">
        <f t="shared" si="37"/>
        <v>32.046773733501936</v>
      </c>
      <c r="H144" s="256">
        <f t="shared" si="28"/>
        <v>17.695346795434588</v>
      </c>
      <c r="I144" s="256">
        <f t="shared" si="38"/>
        <v>32.04875719622612</v>
      </c>
      <c r="J144" s="255">
        <f t="shared" si="29"/>
        <v>27.07388059701492</v>
      </c>
      <c r="K144" s="255">
        <f t="shared" si="42"/>
        <v>28.698313432835818</v>
      </c>
      <c r="L144" s="257">
        <f t="shared" si="30"/>
        <v>139</v>
      </c>
      <c r="M144" s="255">
        <f t="shared" si="39"/>
        <v>32.011137926143078</v>
      </c>
      <c r="N144" s="258">
        <f t="shared" si="31"/>
        <v>365.0353444650155</v>
      </c>
      <c r="O144" s="259">
        <f t="shared" si="40"/>
        <v>21.918033833597164</v>
      </c>
      <c r="P144" s="259">
        <f t="shared" si="41"/>
        <v>24.906856629087684</v>
      </c>
      <c r="Q144" s="109"/>
      <c r="R144" s="109"/>
      <c r="S144" s="109"/>
      <c r="T144" s="109"/>
      <c r="U144" s="109"/>
      <c r="V144" s="109"/>
      <c r="W144" s="109"/>
      <c r="X144" s="109"/>
      <c r="Y144" s="109"/>
      <c r="Z144" s="109"/>
      <c r="AA144" s="109"/>
      <c r="AB144" s="109"/>
      <c r="AC144" s="109"/>
      <c r="AD144" s="109"/>
      <c r="AE144" s="109"/>
      <c r="AF144" s="109"/>
      <c r="AG144" s="109"/>
      <c r="AH144" s="109"/>
      <c r="AI144" s="109"/>
      <c r="AJ144" s="109"/>
      <c r="AK144" s="109"/>
      <c r="AL144" s="109"/>
      <c r="AM144" s="109"/>
      <c r="AN144" s="109"/>
      <c r="AO144" s="109"/>
      <c r="AP144" s="109"/>
      <c r="AQ144" s="109"/>
      <c r="AR144" s="109"/>
      <c r="AS144" s="109"/>
    </row>
    <row r="145" spans="1:45" ht="22.15" customHeight="1">
      <c r="A145" s="219"/>
      <c r="B145" s="219"/>
      <c r="C145" s="444"/>
      <c r="D145" s="219"/>
      <c r="E145" s="253">
        <v>140</v>
      </c>
      <c r="F145" s="254">
        <f t="shared" si="27"/>
        <v>1.1399999999999999</v>
      </c>
      <c r="G145" s="255">
        <f t="shared" si="37"/>
        <v>32.252525234399855</v>
      </c>
      <c r="H145" s="256">
        <f t="shared" si="28"/>
        <v>17.807017543859644</v>
      </c>
      <c r="I145" s="256">
        <f t="shared" si="38"/>
        <v>32.254272175999972</v>
      </c>
      <c r="J145" s="255">
        <f t="shared" si="29"/>
        <v>27.244736842105254</v>
      </c>
      <c r="K145" s="255">
        <f t="shared" si="42"/>
        <v>28.879421052631571</v>
      </c>
      <c r="L145" s="257">
        <f t="shared" si="30"/>
        <v>139.99999999999991</v>
      </c>
      <c r="M145" s="255">
        <f t="shared" si="39"/>
        <v>32.21564816800003</v>
      </c>
      <c r="N145" s="258">
        <f t="shared" si="31"/>
        <v>367.69870280639964</v>
      </c>
      <c r="O145" s="259">
        <f t="shared" si="40"/>
        <v>22.077951439173148</v>
      </c>
      <c r="P145" s="259">
        <f t="shared" si="41"/>
        <v>25.088581180878577</v>
      </c>
      <c r="Q145" s="109"/>
      <c r="R145" s="109"/>
      <c r="S145" s="109"/>
      <c r="T145" s="109"/>
      <c r="U145" s="109"/>
      <c r="V145" s="109"/>
      <c r="W145" s="109"/>
      <c r="X145" s="109"/>
      <c r="Y145" s="109"/>
      <c r="Z145" s="109"/>
      <c r="AA145" s="109"/>
      <c r="AB145" s="109"/>
      <c r="AC145" s="109"/>
      <c r="AD145" s="109"/>
      <c r="AE145" s="109"/>
      <c r="AF145" s="109"/>
      <c r="AG145" s="109"/>
      <c r="AH145" s="109"/>
      <c r="AI145" s="109"/>
      <c r="AJ145" s="109"/>
      <c r="AK145" s="109"/>
      <c r="AL145" s="109"/>
      <c r="AM145" s="109"/>
      <c r="AN145" s="109"/>
      <c r="AO145" s="109"/>
      <c r="AP145" s="109"/>
      <c r="AQ145" s="109"/>
      <c r="AR145" s="109"/>
      <c r="AS145" s="109"/>
    </row>
    <row r="146" spans="1:45" ht="22.15" customHeight="1">
      <c r="A146" s="219"/>
      <c r="B146" s="219"/>
      <c r="C146" s="444"/>
      <c r="D146" s="219"/>
      <c r="E146" s="253">
        <v>141</v>
      </c>
      <c r="F146" s="254">
        <f t="shared" si="27"/>
        <v>1.141</v>
      </c>
      <c r="G146" s="255">
        <f t="shared" si="37"/>
        <v>32.457973398182048</v>
      </c>
      <c r="H146" s="256">
        <f t="shared" si="28"/>
        <v>17.91849255039439</v>
      </c>
      <c r="I146" s="256">
        <f t="shared" si="38"/>
        <v>32.459469673134095</v>
      </c>
      <c r="J146" s="255">
        <f t="shared" si="29"/>
        <v>27.415293602103418</v>
      </c>
      <c r="K146" s="255">
        <f t="shared" si="42"/>
        <v>29.060211218229625</v>
      </c>
      <c r="L146" s="257">
        <f t="shared" si="30"/>
        <v>141</v>
      </c>
      <c r="M146" s="255">
        <f t="shared" si="39"/>
        <v>32.419828085337031</v>
      </c>
      <c r="N146" s="258">
        <f t="shared" si="31"/>
        <v>370.36254897046001</v>
      </c>
      <c r="O146" s="259">
        <f t="shared" si="40"/>
        <v>22.237898335375601</v>
      </c>
      <c r="P146" s="259">
        <f t="shared" si="41"/>
        <v>25.270339017472274</v>
      </c>
      <c r="Q146" s="109"/>
      <c r="R146" s="109"/>
      <c r="S146" s="109"/>
      <c r="T146" s="109"/>
      <c r="U146" s="109"/>
      <c r="V146" s="109"/>
      <c r="W146" s="109"/>
      <c r="X146" s="109"/>
      <c r="Y146" s="109"/>
      <c r="Z146" s="109"/>
      <c r="AA146" s="109"/>
      <c r="AB146" s="109"/>
      <c r="AC146" s="109"/>
      <c r="AD146" s="109"/>
      <c r="AE146" s="109"/>
      <c r="AF146" s="109"/>
      <c r="AG146" s="109"/>
      <c r="AH146" s="109"/>
      <c r="AI146" s="109"/>
      <c r="AJ146" s="109"/>
      <c r="AK146" s="109"/>
      <c r="AL146" s="109"/>
      <c r="AM146" s="109"/>
      <c r="AN146" s="109"/>
      <c r="AO146" s="109"/>
      <c r="AP146" s="109"/>
      <c r="AQ146" s="109"/>
      <c r="AR146" s="109"/>
      <c r="AS146" s="109"/>
    </row>
    <row r="147" spans="1:45" ht="22.15" customHeight="1">
      <c r="A147" s="219"/>
      <c r="B147" s="219"/>
      <c r="C147" s="444"/>
      <c r="D147" s="219"/>
      <c r="E147" s="253">
        <v>142</v>
      </c>
      <c r="F147" s="254">
        <f t="shared" si="27"/>
        <v>1.1419999999999999</v>
      </c>
      <c r="G147" s="255">
        <f t="shared" si="37"/>
        <v>32.663119319608654</v>
      </c>
      <c r="H147" s="256">
        <f t="shared" si="28"/>
        <v>18.029772329246924</v>
      </c>
      <c r="I147" s="256">
        <f t="shared" si="38"/>
        <v>32.664350547152139</v>
      </c>
      <c r="J147" s="255">
        <f t="shared" si="29"/>
        <v>27.585551663747793</v>
      </c>
      <c r="K147" s="255">
        <f t="shared" si="42"/>
        <v>29.240684763572663</v>
      </c>
      <c r="L147" s="257">
        <f t="shared" si="30"/>
        <v>141.99999999999991</v>
      </c>
      <c r="M147" s="255">
        <f t="shared" si="39"/>
        <v>32.623678494136016</v>
      </c>
      <c r="N147" s="258">
        <f t="shared" si="31"/>
        <v>373.02688324847742</v>
      </c>
      <c r="O147" s="259">
        <f t="shared" si="40"/>
        <v>22.397874539694069</v>
      </c>
      <c r="P147" s="259">
        <f t="shared" si="41"/>
        <v>25.452130158743259</v>
      </c>
      <c r="Q147" s="109"/>
      <c r="R147" s="109"/>
      <c r="S147" s="109"/>
      <c r="T147" s="109"/>
      <c r="U147" s="109"/>
      <c r="V147" s="109"/>
      <c r="W147" s="109"/>
      <c r="X147" s="109"/>
      <c r="Y147" s="109"/>
      <c r="Z147" s="109"/>
      <c r="AA147" s="109"/>
      <c r="AB147" s="109"/>
      <c r="AC147" s="109"/>
      <c r="AD147" s="109"/>
      <c r="AE147" s="109"/>
      <c r="AF147" s="109"/>
      <c r="AG147" s="109"/>
      <c r="AH147" s="109"/>
      <c r="AI147" s="109"/>
      <c r="AJ147" s="109"/>
      <c r="AK147" s="109"/>
      <c r="AL147" s="109"/>
      <c r="AM147" s="109"/>
      <c r="AN147" s="109"/>
      <c r="AO147" s="109"/>
      <c r="AP147" s="109"/>
      <c r="AQ147" s="109"/>
      <c r="AR147" s="109"/>
      <c r="AS147" s="109"/>
    </row>
    <row r="148" spans="1:45" ht="22.15" customHeight="1">
      <c r="A148" s="219"/>
      <c r="B148" s="219"/>
      <c r="C148" s="444"/>
      <c r="D148" s="219"/>
      <c r="E148" s="253">
        <v>143</v>
      </c>
      <c r="F148" s="254">
        <f t="shared" si="27"/>
        <v>1.143</v>
      </c>
      <c r="G148" s="255">
        <f t="shared" si="37"/>
        <v>32.867964093440492</v>
      </c>
      <c r="H148" s="256">
        <f t="shared" si="28"/>
        <v>18.140857392825893</v>
      </c>
      <c r="I148" s="256">
        <f t="shared" si="38"/>
        <v>32.868915657578214</v>
      </c>
      <c r="J148" s="255">
        <f t="shared" si="29"/>
        <v>27.755511811023617</v>
      </c>
      <c r="K148" s="255">
        <f t="shared" si="42"/>
        <v>29.420842519685035</v>
      </c>
      <c r="L148" s="257">
        <f t="shared" si="30"/>
        <v>143.00000000000003</v>
      </c>
      <c r="M148" s="255">
        <f t="shared" si="39"/>
        <v>32.827200210378919</v>
      </c>
      <c r="N148" s="258">
        <f t="shared" si="31"/>
        <v>375.691705966119</v>
      </c>
      <c r="O148" s="259">
        <f t="shared" si="40"/>
        <v>22.557880071682778</v>
      </c>
      <c r="P148" s="259">
        <f t="shared" si="41"/>
        <v>25.633954626912249</v>
      </c>
      <c r="Q148" s="109"/>
      <c r="R148" s="109"/>
      <c r="S148" s="109"/>
      <c r="T148" s="109"/>
      <c r="U148" s="109"/>
      <c r="V148" s="109"/>
      <c r="W148" s="109"/>
      <c r="X148" s="109"/>
      <c r="Y148" s="109"/>
      <c r="Z148" s="109"/>
      <c r="AA148" s="109"/>
      <c r="AB148" s="109"/>
      <c r="AC148" s="109"/>
      <c r="AD148" s="109"/>
      <c r="AE148" s="109"/>
      <c r="AF148" s="109"/>
      <c r="AG148" s="109"/>
      <c r="AH148" s="109"/>
      <c r="AI148" s="109"/>
      <c r="AJ148" s="109"/>
      <c r="AK148" s="109"/>
      <c r="AL148" s="109"/>
      <c r="AM148" s="109"/>
      <c r="AN148" s="109"/>
      <c r="AO148" s="109"/>
      <c r="AP148" s="109"/>
      <c r="AQ148" s="109"/>
      <c r="AR148" s="109"/>
      <c r="AS148" s="109"/>
    </row>
    <row r="149" spans="1:45" ht="22.15" customHeight="1">
      <c r="A149" s="219"/>
      <c r="B149" s="219"/>
      <c r="C149" s="444"/>
      <c r="D149" s="219"/>
      <c r="E149" s="253">
        <v>144</v>
      </c>
      <c r="F149" s="254">
        <f t="shared" si="27"/>
        <v>1.1439999999999999</v>
      </c>
      <c r="G149" s="255">
        <f t="shared" si="37"/>
        <v>33.072508814438379</v>
      </c>
      <c r="H149" s="256">
        <f t="shared" si="28"/>
        <v>18.251748251748239</v>
      </c>
      <c r="I149" s="256">
        <f t="shared" si="38"/>
        <v>33.073165863936197</v>
      </c>
      <c r="J149" s="255">
        <f t="shared" si="29"/>
        <v>27.925174825174807</v>
      </c>
      <c r="K149" s="255">
        <f t="shared" si="42"/>
        <v>29.600685314685297</v>
      </c>
      <c r="L149" s="257">
        <f t="shared" si="30"/>
        <v>143.99999999999991</v>
      </c>
      <c r="M149" s="255">
        <f t="shared" si="39"/>
        <v>33.030394050048017</v>
      </c>
      <c r="N149" s="258">
        <f t="shared" si="31"/>
        <v>378.35701748343007</v>
      </c>
      <c r="O149" s="259">
        <f t="shared" si="40"/>
        <v>22.717914952960143</v>
      </c>
      <c r="P149" s="259">
        <f t="shared" si="41"/>
        <v>25.815812446545618</v>
      </c>
      <c r="Q149" s="109"/>
      <c r="R149" s="109"/>
      <c r="S149" s="109"/>
      <c r="T149" s="109"/>
      <c r="U149" s="109"/>
      <c r="V149" s="109"/>
      <c r="W149" s="109"/>
      <c r="X149" s="109"/>
      <c r="Y149" s="109"/>
      <c r="Z149" s="109"/>
      <c r="AA149" s="109"/>
      <c r="AB149" s="109"/>
      <c r="AC149" s="109"/>
      <c r="AD149" s="109"/>
      <c r="AE149" s="109"/>
      <c r="AF149" s="109"/>
      <c r="AG149" s="109"/>
      <c r="AH149" s="109"/>
      <c r="AI149" s="109"/>
      <c r="AJ149" s="109"/>
      <c r="AK149" s="109"/>
      <c r="AL149" s="109"/>
      <c r="AM149" s="109"/>
      <c r="AN149" s="109"/>
      <c r="AO149" s="109"/>
      <c r="AP149" s="109"/>
      <c r="AQ149" s="109"/>
      <c r="AR149" s="109"/>
      <c r="AS149" s="109"/>
    </row>
    <row r="150" spans="1:45" ht="22.15" customHeight="1">
      <c r="A150" s="219"/>
      <c r="B150" s="219"/>
      <c r="C150" s="444"/>
      <c r="D150" s="219"/>
      <c r="E150" s="253">
        <v>145</v>
      </c>
      <c r="F150" s="254">
        <f t="shared" si="27"/>
        <v>1.145</v>
      </c>
      <c r="G150" s="255">
        <f t="shared" si="37"/>
        <v>33.276754577362453</v>
      </c>
      <c r="H150" s="256">
        <f t="shared" si="28"/>
        <v>18.362445414847159</v>
      </c>
      <c r="I150" s="256">
        <f t="shared" si="38"/>
        <v>33.277102025750082</v>
      </c>
      <c r="J150" s="255">
        <f t="shared" si="29"/>
        <v>28.094541484716153</v>
      </c>
      <c r="K150" s="255">
        <f t="shared" si="42"/>
        <v>29.780213973799125</v>
      </c>
      <c r="L150" s="257">
        <f t="shared" si="30"/>
        <v>145.00000000000003</v>
      </c>
      <c r="M150" s="255">
        <f t="shared" si="39"/>
        <v>33.233260829125129</v>
      </c>
      <c r="N150" s="258">
        <f t="shared" si="31"/>
        <v>381.02281819483846</v>
      </c>
      <c r="O150" s="259">
        <f t="shared" si="40"/>
        <v>22.877979207209027</v>
      </c>
      <c r="P150" s="259">
        <f t="shared" si="41"/>
        <v>25.997703644555713</v>
      </c>
      <c r="Q150" s="109"/>
      <c r="R150" s="109"/>
      <c r="S150" s="109"/>
      <c r="T150" s="109"/>
      <c r="U150" s="109"/>
      <c r="V150" s="109"/>
      <c r="W150" s="109"/>
      <c r="X150" s="109"/>
      <c r="Y150" s="109"/>
      <c r="Z150" s="109"/>
      <c r="AA150" s="109"/>
      <c r="AB150" s="109"/>
      <c r="AC150" s="109"/>
      <c r="AD150" s="109"/>
      <c r="AE150" s="109"/>
      <c r="AF150" s="109"/>
      <c r="AG150" s="109"/>
      <c r="AH150" s="109"/>
      <c r="AI150" s="109"/>
      <c r="AJ150" s="109"/>
      <c r="AK150" s="109"/>
      <c r="AL150" s="109"/>
      <c r="AM150" s="109"/>
      <c r="AN150" s="109"/>
      <c r="AO150" s="109"/>
      <c r="AP150" s="109"/>
      <c r="AQ150" s="109"/>
      <c r="AR150" s="109"/>
      <c r="AS150" s="109"/>
    </row>
    <row r="151" spans="1:45" ht="22.15" customHeight="1">
      <c r="A151" s="219"/>
      <c r="B151" s="219"/>
      <c r="C151" s="444"/>
      <c r="D151" s="219"/>
      <c r="E151" s="253">
        <v>146</v>
      </c>
      <c r="F151" s="254">
        <f t="shared" si="27"/>
        <v>1.1459999999999999</v>
      </c>
      <c r="G151" s="255">
        <f t="shared" si="37"/>
        <v>33.480702476973534</v>
      </c>
      <c r="H151" s="256">
        <f t="shared" si="28"/>
        <v>18.472949389179746</v>
      </c>
      <c r="I151" s="256">
        <f t="shared" si="38"/>
        <v>33.480725002544204</v>
      </c>
      <c r="J151" s="255">
        <f t="shared" si="29"/>
        <v>28.263612565445012</v>
      </c>
      <c r="K151" s="255">
        <f t="shared" si="42"/>
        <v>29.959429319371715</v>
      </c>
      <c r="L151" s="257">
        <f t="shared" si="30"/>
        <v>145.99999999999991</v>
      </c>
      <c r="M151" s="255">
        <f t="shared" si="39"/>
        <v>33.435801363592077</v>
      </c>
      <c r="N151" s="258">
        <f t="shared" si="31"/>
        <v>383.68910852915656</v>
      </c>
      <c r="O151" s="255">
        <f t="shared" si="40"/>
        <v>23.038072860176861</v>
      </c>
      <c r="P151" s="255">
        <f t="shared" si="41"/>
        <v>26.179628250200977</v>
      </c>
      <c r="Q151" s="109"/>
      <c r="R151" s="109"/>
      <c r="S151" s="109"/>
      <c r="T151" s="109"/>
      <c r="U151" s="109"/>
      <c r="V151" s="109"/>
      <c r="W151" s="109"/>
      <c r="X151" s="109"/>
      <c r="Y151" s="109"/>
      <c r="Z151" s="109"/>
      <c r="AA151" s="109"/>
      <c r="AB151" s="109"/>
      <c r="AC151" s="109"/>
      <c r="AD151" s="109"/>
      <c r="AE151" s="109"/>
      <c r="AF151" s="109"/>
      <c r="AG151" s="109"/>
      <c r="AH151" s="109"/>
      <c r="AI151" s="109"/>
      <c r="AJ151" s="109"/>
      <c r="AK151" s="109"/>
      <c r="AL151" s="109"/>
      <c r="AM151" s="109"/>
      <c r="AN151" s="109"/>
      <c r="AO151" s="109"/>
      <c r="AP151" s="109"/>
      <c r="AQ151" s="109"/>
      <c r="AR151" s="109"/>
      <c r="AS151" s="109"/>
    </row>
    <row r="152" spans="1:45" ht="22.15" customHeight="1">
      <c r="A152" s="252"/>
      <c r="B152" s="252"/>
      <c r="C152" s="444"/>
      <c r="D152" s="252"/>
      <c r="E152" s="260">
        <v>147</v>
      </c>
      <c r="F152" s="254">
        <f t="shared" si="27"/>
        <v>1.147</v>
      </c>
      <c r="G152" s="255">
        <f t="shared" si="37"/>
        <v>33.684353608032211</v>
      </c>
      <c r="H152" s="256">
        <f t="shared" si="28"/>
        <v>18.583260680034883</v>
      </c>
      <c r="I152" s="256">
        <f t="shared" si="38"/>
        <v>33.684035653842216</v>
      </c>
      <c r="J152" s="255">
        <f t="shared" si="29"/>
        <v>28.43238884045337</v>
      </c>
      <c r="K152" s="255">
        <f t="shared" si="42"/>
        <v>30.138332170880574</v>
      </c>
      <c r="L152" s="257">
        <f t="shared" si="30"/>
        <v>147.00000000000003</v>
      </c>
      <c r="M152" s="255">
        <f t="shared" si="39"/>
        <v>33.638016469431022</v>
      </c>
      <c r="N152" s="258">
        <f t="shared" si="31"/>
        <v>386.35588894957021</v>
      </c>
      <c r="O152" s="255">
        <f t="shared" si="40"/>
        <v>23.198195939674999</v>
      </c>
      <c r="P152" s="255">
        <f t="shared" si="41"/>
        <v>26.361586295085225</v>
      </c>
      <c r="Q152" s="109"/>
      <c r="R152" s="109"/>
      <c r="S152" s="109"/>
      <c r="T152" s="109"/>
      <c r="U152" s="109"/>
      <c r="V152" s="109"/>
      <c r="W152" s="109"/>
      <c r="X152" s="109"/>
      <c r="Y152" s="109"/>
      <c r="Z152" s="109"/>
      <c r="AA152" s="109"/>
      <c r="AB152" s="109"/>
      <c r="AC152" s="109"/>
      <c r="AD152" s="109"/>
      <c r="AE152" s="109"/>
      <c r="AF152" s="109"/>
      <c r="AG152" s="109"/>
      <c r="AH152" s="109"/>
      <c r="AI152" s="109"/>
      <c r="AJ152" s="109"/>
      <c r="AK152" s="109"/>
      <c r="AL152" s="109"/>
      <c r="AM152" s="109"/>
      <c r="AN152" s="109"/>
      <c r="AO152" s="109"/>
      <c r="AP152" s="109"/>
      <c r="AQ152" s="109"/>
      <c r="AR152" s="109"/>
      <c r="AS152" s="109"/>
    </row>
    <row r="153" spans="1:45" ht="22.15" customHeight="1">
      <c r="A153" s="252"/>
      <c r="B153" s="252"/>
      <c r="C153" s="444"/>
      <c r="D153" s="252"/>
      <c r="E153" s="260">
        <v>148</v>
      </c>
      <c r="F153" s="254">
        <f t="shared" si="27"/>
        <v>1.1479999999999999</v>
      </c>
      <c r="G153" s="255">
        <f t="shared" si="37"/>
        <v>33.887709065299191</v>
      </c>
      <c r="H153" s="256">
        <f t="shared" ref="H153:H155" si="43">+$H$2-($H$2/F153)</f>
        <v>18.693379790940753</v>
      </c>
      <c r="I153" s="256">
        <f t="shared" si="38"/>
        <v>33.887034839168223</v>
      </c>
      <c r="J153" s="255">
        <f t="shared" ref="J153:J155" si="44">+H153*$J$2</f>
        <v>28.600871080139353</v>
      </c>
      <c r="K153" s="255">
        <f t="shared" si="42"/>
        <v>30.316923344947714</v>
      </c>
      <c r="L153" s="257">
        <f t="shared" ref="L153:L155" si="45">+$L$2*(F153-1)</f>
        <v>147.99999999999991</v>
      </c>
      <c r="M153" s="255">
        <f t="shared" si="39"/>
        <v>33.839906962624013</v>
      </c>
      <c r="N153" s="258">
        <f t="shared" ref="N153:N155" si="46">F153*(I153*10)</f>
        <v>389.02315995365115</v>
      </c>
      <c r="O153" s="255">
        <f t="shared" si="40"/>
        <v>23.358348475579422</v>
      </c>
      <c r="P153" s="255">
        <f t="shared" si="41"/>
        <v>26.543577813158436</v>
      </c>
      <c r="Q153" s="109"/>
      <c r="R153" s="109"/>
      <c r="S153" s="109"/>
      <c r="T153" s="109"/>
      <c r="U153" s="109"/>
      <c r="V153" s="109"/>
      <c r="W153" s="109"/>
      <c r="X153" s="109"/>
      <c r="Y153" s="109"/>
      <c r="Z153" s="109"/>
      <c r="AA153" s="109"/>
      <c r="AB153" s="109"/>
      <c r="AC153" s="109"/>
      <c r="AD153" s="109"/>
      <c r="AE153" s="109"/>
      <c r="AF153" s="109"/>
      <c r="AG153" s="109"/>
      <c r="AH153" s="109"/>
      <c r="AI153" s="109"/>
      <c r="AJ153" s="109"/>
      <c r="AK153" s="109"/>
      <c r="AL153" s="109"/>
      <c r="AM153" s="109"/>
      <c r="AN153" s="109"/>
      <c r="AO153" s="109"/>
      <c r="AP153" s="109"/>
      <c r="AQ153" s="109"/>
      <c r="AR153" s="109"/>
      <c r="AS153" s="109"/>
    </row>
    <row r="154" spans="1:45" ht="22.15" customHeight="1">
      <c r="A154" s="252"/>
      <c r="B154" s="252"/>
      <c r="C154" s="444"/>
      <c r="D154" s="252"/>
      <c r="E154" s="260">
        <v>149</v>
      </c>
      <c r="F154" s="254">
        <f t="shared" si="27"/>
        <v>1.149</v>
      </c>
      <c r="G154" s="255">
        <f t="shared" si="37"/>
        <v>34.090769943534838</v>
      </c>
      <c r="H154" s="256">
        <f t="shared" si="43"/>
        <v>18.803307223672761</v>
      </c>
      <c r="I154" s="256">
        <f t="shared" si="38"/>
        <v>34.089723418046219</v>
      </c>
      <c r="J154" s="255">
        <f t="shared" si="44"/>
        <v>28.769060052219324</v>
      </c>
      <c r="K154" s="255">
        <f t="shared" si="42"/>
        <v>30.495203655352483</v>
      </c>
      <c r="L154" s="257">
        <f t="shared" si="45"/>
        <v>149.00000000000003</v>
      </c>
      <c r="M154" s="255">
        <f t="shared" si="39"/>
        <v>34.041473659152985</v>
      </c>
      <c r="N154" s="258">
        <f t="shared" si="46"/>
        <v>391.69092207335109</v>
      </c>
      <c r="O154" s="255">
        <f t="shared" si="40"/>
        <v>23.51853049983044</v>
      </c>
      <c r="P154" s="255">
        <f t="shared" si="41"/>
        <v>26.725602840716409</v>
      </c>
      <c r="Q154" s="109"/>
      <c r="R154" s="109"/>
      <c r="S154" s="109"/>
      <c r="T154" s="109"/>
      <c r="U154" s="109"/>
      <c r="V154" s="109"/>
      <c r="W154" s="109"/>
      <c r="X154" s="109"/>
      <c r="Y154" s="109"/>
      <c r="Z154" s="109"/>
      <c r="AA154" s="109"/>
      <c r="AB154" s="109"/>
      <c r="AC154" s="109"/>
      <c r="AD154" s="109"/>
      <c r="AE154" s="109"/>
      <c r="AF154" s="109"/>
      <c r="AG154" s="109"/>
      <c r="AH154" s="109"/>
      <c r="AI154" s="109"/>
      <c r="AJ154" s="109"/>
      <c r="AK154" s="109"/>
      <c r="AL154" s="109"/>
      <c r="AM154" s="109"/>
      <c r="AN154" s="109"/>
      <c r="AO154" s="109"/>
      <c r="AP154" s="109"/>
      <c r="AQ154" s="109"/>
      <c r="AR154" s="109"/>
      <c r="AS154" s="109"/>
    </row>
    <row r="155" spans="1:45" ht="22.15" customHeight="1">
      <c r="A155" s="252"/>
      <c r="B155" s="252"/>
      <c r="C155" s="445"/>
      <c r="D155" s="252"/>
      <c r="E155" s="260">
        <v>150</v>
      </c>
      <c r="F155" s="254">
        <f t="shared" si="27"/>
        <v>1.1499999999999999</v>
      </c>
      <c r="G155" s="255">
        <f t="shared" si="37"/>
        <v>34.293537337499856</v>
      </c>
      <c r="H155" s="256">
        <f t="shared" si="43"/>
        <v>18.91304347826086</v>
      </c>
      <c r="I155" s="256">
        <f t="shared" si="38"/>
        <v>34.292102249999971</v>
      </c>
      <c r="J155" s="255">
        <f t="shared" si="44"/>
        <v>28.936956521739116</v>
      </c>
      <c r="K155" s="255">
        <f t="shared" si="42"/>
        <v>30.673173913043463</v>
      </c>
      <c r="L155" s="257">
        <f t="shared" si="45"/>
        <v>149.99999999999991</v>
      </c>
      <c r="M155" s="255">
        <f t="shared" si="39"/>
        <v>34.242717374999984</v>
      </c>
      <c r="N155" s="258">
        <f t="shared" si="46"/>
        <v>394.35917587499961</v>
      </c>
      <c r="O155" s="255">
        <f t="shared" si="40"/>
        <v>23.678742046432504</v>
      </c>
      <c r="P155" s="255">
        <f t="shared" si="41"/>
        <v>26.907661416400572</v>
      </c>
      <c r="Q155" s="109"/>
      <c r="R155" s="109"/>
      <c r="S155" s="109"/>
      <c r="T155" s="109"/>
      <c r="U155" s="109"/>
      <c r="V155" s="109"/>
      <c r="W155" s="109"/>
      <c r="X155" s="109"/>
      <c r="Y155" s="109"/>
      <c r="Z155" s="109"/>
      <c r="AA155" s="109"/>
      <c r="AB155" s="109"/>
      <c r="AC155" s="109"/>
      <c r="AD155" s="109"/>
      <c r="AE155" s="109"/>
      <c r="AF155" s="109"/>
      <c r="AG155" s="109"/>
      <c r="AH155" s="109"/>
      <c r="AI155" s="109"/>
      <c r="AJ155" s="109"/>
      <c r="AK155" s="109"/>
      <c r="AL155" s="109"/>
      <c r="AM155" s="109"/>
      <c r="AN155" s="109"/>
      <c r="AO155" s="109"/>
      <c r="AP155" s="109"/>
      <c r="AQ155" s="109"/>
      <c r="AR155" s="109"/>
      <c r="AS155" s="109"/>
    </row>
    <row r="156" spans="1:45" ht="18.75">
      <c r="A156" s="109"/>
      <c r="B156" s="261"/>
      <c r="C156" s="556"/>
      <c r="D156" s="556"/>
      <c r="E156" s="508"/>
      <c r="F156" s="556"/>
      <c r="G156" s="558"/>
      <c r="H156" s="508"/>
      <c r="I156" s="559"/>
      <c r="J156" s="508"/>
      <c r="K156" s="560"/>
      <c r="L156" s="508"/>
      <c r="M156" s="508"/>
      <c r="N156" s="561"/>
      <c r="O156" s="562"/>
      <c r="P156" s="508"/>
      <c r="Q156" s="109"/>
      <c r="R156" s="109"/>
      <c r="S156" s="109"/>
      <c r="T156" s="109"/>
      <c r="U156" s="109"/>
      <c r="V156" s="109"/>
      <c r="W156" s="109"/>
      <c r="X156" s="109"/>
      <c r="Y156" s="109"/>
      <c r="Z156" s="109"/>
      <c r="AA156" s="109"/>
      <c r="AB156" s="109"/>
      <c r="AC156" s="109"/>
      <c r="AD156" s="109"/>
      <c r="AE156" s="109"/>
      <c r="AF156" s="109"/>
      <c r="AG156" s="109"/>
      <c r="AH156" s="109"/>
      <c r="AI156" s="109"/>
      <c r="AJ156" s="109"/>
      <c r="AK156" s="109"/>
      <c r="AL156" s="109"/>
      <c r="AM156" s="109"/>
      <c r="AN156" s="109"/>
      <c r="AO156" s="109"/>
      <c r="AP156" s="109"/>
      <c r="AQ156" s="109"/>
      <c r="AR156" s="109"/>
      <c r="AS156" s="109"/>
    </row>
    <row r="157" spans="1:45" ht="29.45" customHeight="1">
      <c r="A157" s="109"/>
      <c r="B157" s="109"/>
      <c r="C157" s="556"/>
      <c r="D157" s="556"/>
      <c r="E157" s="557" t="s">
        <v>28</v>
      </c>
      <c r="F157" s="557"/>
      <c r="G157" s="557"/>
      <c r="H157" s="557"/>
      <c r="I157" s="557"/>
      <c r="J157" s="557"/>
      <c r="K157" s="557"/>
      <c r="L157" s="557"/>
      <c r="M157" s="557"/>
      <c r="N157" s="557"/>
      <c r="O157" s="557"/>
      <c r="P157" s="557"/>
      <c r="Q157" s="109"/>
      <c r="R157" s="109"/>
      <c r="S157" s="109"/>
      <c r="T157" s="109"/>
      <c r="U157" s="109"/>
      <c r="V157" s="109"/>
      <c r="W157" s="109"/>
      <c r="X157" s="109"/>
      <c r="Y157" s="109"/>
      <c r="Z157" s="109"/>
      <c r="AA157" s="109"/>
      <c r="AB157" s="109"/>
      <c r="AC157" s="109"/>
      <c r="AD157" s="109"/>
      <c r="AE157" s="109"/>
      <c r="AF157" s="109"/>
      <c r="AG157" s="109"/>
      <c r="AH157" s="109"/>
      <c r="AI157" s="109"/>
      <c r="AJ157" s="109"/>
      <c r="AK157" s="109"/>
      <c r="AL157" s="109"/>
      <c r="AM157" s="109"/>
      <c r="AN157" s="109"/>
      <c r="AO157" s="109"/>
      <c r="AP157" s="109"/>
      <c r="AQ157" s="109"/>
      <c r="AR157" s="109"/>
      <c r="AS157" s="109"/>
    </row>
    <row r="158" spans="1:45" ht="18.75">
      <c r="A158" s="508"/>
      <c r="B158" s="517"/>
      <c r="C158" s="518"/>
      <c r="D158" s="518"/>
      <c r="E158" s="563" t="s">
        <v>305</v>
      </c>
      <c r="F158" s="518"/>
      <c r="G158" s="518"/>
      <c r="H158" s="517"/>
      <c r="I158" s="517"/>
      <c r="J158" s="517"/>
      <c r="K158" s="517"/>
      <c r="L158" s="517"/>
      <c r="M158" s="517"/>
      <c r="N158" s="564"/>
      <c r="O158" s="565"/>
      <c r="P158" s="517"/>
      <c r="Q158" s="517"/>
      <c r="R158" s="517"/>
      <c r="S158" s="517"/>
      <c r="T158" s="517"/>
      <c r="U158" s="517"/>
      <c r="V158" s="517"/>
      <c r="W158" s="517"/>
      <c r="X158" s="517"/>
      <c r="Y158" s="517"/>
      <c r="Z158" s="517"/>
      <c r="AA158" s="517"/>
      <c r="AB158" s="517"/>
      <c r="AC158" s="517"/>
      <c r="AD158" s="517"/>
      <c r="AE158" s="517"/>
      <c r="AF158" s="517"/>
      <c r="AG158" s="517"/>
      <c r="AH158" s="517"/>
      <c r="AI158" s="517"/>
      <c r="AJ158" s="517"/>
      <c r="AK158" s="517"/>
      <c r="AL158" s="517"/>
      <c r="AM158" s="517"/>
      <c r="AN158" s="517"/>
      <c r="AO158" s="517"/>
      <c r="AP158" s="517"/>
      <c r="AQ158" s="517"/>
      <c r="AR158" s="517"/>
      <c r="AS158" s="517"/>
    </row>
    <row r="159" spans="1:45" ht="18.75">
      <c r="A159" s="508"/>
      <c r="B159" s="517"/>
      <c r="C159" s="518"/>
      <c r="D159" s="518"/>
      <c r="E159" s="499" t="s">
        <v>363</v>
      </c>
      <c r="F159" s="518"/>
      <c r="G159" s="518"/>
      <c r="H159" s="517"/>
      <c r="I159" s="517"/>
      <c r="J159" s="517"/>
      <c r="K159" s="517"/>
      <c r="L159" s="517"/>
      <c r="M159" s="517"/>
      <c r="N159" s="566"/>
      <c r="O159" s="565"/>
      <c r="P159" s="517"/>
      <c r="Q159" s="517"/>
      <c r="R159" s="517"/>
      <c r="S159" s="517"/>
      <c r="T159" s="517"/>
      <c r="U159" s="517"/>
      <c r="V159" s="517"/>
      <c r="W159" s="517"/>
      <c r="X159" s="517"/>
      <c r="Y159" s="517"/>
      <c r="Z159" s="517"/>
      <c r="AA159" s="517"/>
      <c r="AB159" s="517"/>
      <c r="AC159" s="517"/>
      <c r="AD159" s="517"/>
      <c r="AE159" s="517"/>
      <c r="AF159" s="517"/>
      <c r="AG159" s="517"/>
      <c r="AH159" s="517"/>
      <c r="AI159" s="517"/>
      <c r="AJ159" s="517"/>
      <c r="AK159" s="517"/>
      <c r="AL159" s="517"/>
      <c r="AM159" s="517"/>
      <c r="AN159" s="517"/>
      <c r="AO159" s="517"/>
      <c r="AP159" s="517"/>
      <c r="AQ159" s="517"/>
      <c r="AR159" s="517"/>
      <c r="AS159" s="517"/>
    </row>
    <row r="160" spans="1:45" ht="18.75">
      <c r="A160" s="508"/>
      <c r="B160" s="517"/>
      <c r="C160" s="518"/>
      <c r="D160" s="518"/>
      <c r="E160" s="563" t="s">
        <v>356</v>
      </c>
      <c r="F160" s="518"/>
      <c r="G160" s="518"/>
      <c r="H160" s="517"/>
      <c r="I160" s="517"/>
      <c r="J160" s="517"/>
      <c r="K160" s="517"/>
      <c r="L160" s="517"/>
      <c r="M160" s="517"/>
      <c r="N160" s="517"/>
      <c r="O160" s="517"/>
      <c r="P160" s="517"/>
      <c r="Q160" s="517"/>
      <c r="R160" s="517"/>
      <c r="S160" s="517"/>
      <c r="T160" s="517"/>
      <c r="U160" s="517"/>
      <c r="V160" s="517"/>
      <c r="W160" s="517"/>
      <c r="X160" s="517"/>
      <c r="Y160" s="517"/>
      <c r="Z160" s="517"/>
      <c r="AA160" s="517"/>
      <c r="AB160" s="517"/>
      <c r="AC160" s="517"/>
      <c r="AD160" s="517"/>
      <c r="AE160" s="517"/>
      <c r="AF160" s="517"/>
      <c r="AG160" s="517"/>
      <c r="AH160" s="517"/>
      <c r="AI160" s="517"/>
      <c r="AJ160" s="517"/>
      <c r="AK160" s="517"/>
      <c r="AL160" s="517"/>
      <c r="AM160" s="517"/>
      <c r="AN160" s="517"/>
      <c r="AO160" s="517"/>
      <c r="AP160" s="517"/>
      <c r="AQ160" s="517"/>
      <c r="AR160" s="517"/>
      <c r="AS160" s="517"/>
    </row>
    <row r="161" spans="1:45" ht="18.75">
      <c r="A161" s="508"/>
      <c r="B161" s="517"/>
      <c r="C161" s="518"/>
      <c r="D161" s="518"/>
      <c r="E161" s="563" t="s">
        <v>357</v>
      </c>
      <c r="F161" s="518"/>
      <c r="G161" s="518"/>
      <c r="H161" s="517"/>
      <c r="I161" s="517"/>
      <c r="J161" s="517"/>
      <c r="K161" s="517"/>
      <c r="L161" s="517"/>
      <c r="M161" s="517"/>
      <c r="N161" s="517"/>
      <c r="O161" s="565"/>
      <c r="P161" s="517"/>
      <c r="Q161" s="517"/>
      <c r="R161" s="517"/>
      <c r="S161" s="517"/>
      <c r="T161" s="517"/>
      <c r="U161" s="517"/>
      <c r="V161" s="517"/>
      <c r="W161" s="517"/>
      <c r="X161" s="517"/>
      <c r="Y161" s="517"/>
      <c r="Z161" s="517"/>
      <c r="AA161" s="517"/>
      <c r="AB161" s="517"/>
      <c r="AC161" s="517"/>
      <c r="AD161" s="517"/>
      <c r="AE161" s="517"/>
      <c r="AF161" s="517"/>
      <c r="AG161" s="517"/>
      <c r="AH161" s="517"/>
      <c r="AI161" s="517"/>
      <c r="AJ161" s="517"/>
      <c r="AK161" s="517"/>
      <c r="AL161" s="517"/>
      <c r="AM161" s="517"/>
      <c r="AN161" s="517"/>
      <c r="AO161" s="517"/>
      <c r="AP161" s="517"/>
      <c r="AQ161" s="517"/>
      <c r="AR161" s="517"/>
      <c r="AS161" s="517"/>
    </row>
    <row r="162" spans="1:45" ht="18.75">
      <c r="A162" s="508"/>
      <c r="B162" s="517"/>
      <c r="C162" s="518"/>
      <c r="D162" s="518"/>
      <c r="E162" s="563" t="s">
        <v>358</v>
      </c>
      <c r="F162" s="518"/>
      <c r="G162" s="518"/>
      <c r="H162" s="517"/>
      <c r="I162" s="517"/>
      <c r="J162" s="517"/>
      <c r="K162" s="517"/>
      <c r="L162" s="517"/>
      <c r="M162" s="517"/>
      <c r="N162" s="517"/>
      <c r="O162" s="565"/>
      <c r="P162" s="517"/>
      <c r="Q162" s="517"/>
      <c r="R162" s="517"/>
      <c r="S162" s="517"/>
      <c r="T162" s="517"/>
      <c r="U162" s="517"/>
      <c r="V162" s="517"/>
      <c r="W162" s="517"/>
      <c r="X162" s="517"/>
      <c r="Y162" s="517"/>
      <c r="Z162" s="517"/>
      <c r="AA162" s="517"/>
      <c r="AB162" s="517"/>
      <c r="AC162" s="517"/>
      <c r="AD162" s="517"/>
      <c r="AE162" s="517"/>
      <c r="AF162" s="517"/>
      <c r="AG162" s="517"/>
      <c r="AH162" s="517"/>
      <c r="AI162" s="517"/>
      <c r="AJ162" s="517"/>
      <c r="AK162" s="517"/>
      <c r="AL162" s="517"/>
      <c r="AM162" s="517"/>
      <c r="AN162" s="517"/>
      <c r="AO162" s="517"/>
      <c r="AP162" s="517"/>
      <c r="AQ162" s="517"/>
      <c r="AR162" s="517"/>
      <c r="AS162" s="517"/>
    </row>
    <row r="163" spans="1:45" ht="18.75">
      <c r="A163" s="508"/>
      <c r="B163" s="517"/>
      <c r="C163" s="518"/>
      <c r="D163" s="518"/>
      <c r="E163" s="563" t="s">
        <v>359</v>
      </c>
      <c r="F163" s="518"/>
      <c r="G163" s="518"/>
      <c r="H163" s="517"/>
      <c r="I163" s="517"/>
      <c r="J163" s="517"/>
      <c r="K163" s="517"/>
      <c r="L163" s="517"/>
      <c r="M163" s="517"/>
      <c r="N163" s="517"/>
      <c r="O163" s="517"/>
      <c r="P163" s="517"/>
      <c r="Q163" s="517"/>
      <c r="R163" s="517"/>
      <c r="S163" s="517"/>
      <c r="T163" s="517"/>
      <c r="U163" s="517"/>
      <c r="V163" s="517"/>
      <c r="W163" s="517"/>
      <c r="X163" s="517"/>
      <c r="Y163" s="517"/>
      <c r="Z163" s="517"/>
      <c r="AA163" s="517"/>
      <c r="AB163" s="517"/>
      <c r="AC163" s="517"/>
      <c r="AD163" s="517"/>
      <c r="AE163" s="517"/>
      <c r="AF163" s="517"/>
      <c r="AG163" s="517"/>
      <c r="AH163" s="517"/>
      <c r="AI163" s="517"/>
      <c r="AJ163" s="517"/>
      <c r="AK163" s="517"/>
      <c r="AL163" s="517"/>
      <c r="AM163" s="517"/>
      <c r="AN163" s="517"/>
      <c r="AO163" s="517"/>
      <c r="AP163" s="517"/>
      <c r="AQ163" s="517"/>
      <c r="AR163" s="517"/>
      <c r="AS163" s="517"/>
    </row>
    <row r="164" spans="1:45" ht="18.75">
      <c r="A164" s="508"/>
      <c r="B164" s="517"/>
      <c r="C164" s="518"/>
      <c r="D164" s="518"/>
      <c r="E164" s="563" t="s">
        <v>360</v>
      </c>
      <c r="F164" s="518"/>
      <c r="G164" s="518"/>
      <c r="H164" s="517"/>
      <c r="I164" s="517"/>
      <c r="J164" s="517"/>
      <c r="K164" s="517"/>
      <c r="L164" s="517"/>
      <c r="M164" s="517"/>
      <c r="N164" s="517"/>
      <c r="O164" s="517"/>
      <c r="P164" s="517"/>
      <c r="Q164" s="517"/>
      <c r="R164" s="517"/>
      <c r="S164" s="517"/>
      <c r="T164" s="517"/>
      <c r="U164" s="517"/>
      <c r="V164" s="517"/>
      <c r="W164" s="517"/>
      <c r="X164" s="517"/>
      <c r="Y164" s="517"/>
      <c r="Z164" s="517"/>
      <c r="AA164" s="517"/>
      <c r="AB164" s="517"/>
      <c r="AC164" s="517"/>
      <c r="AD164" s="517"/>
      <c r="AE164" s="517"/>
      <c r="AF164" s="517"/>
      <c r="AG164" s="517"/>
      <c r="AH164" s="517"/>
      <c r="AI164" s="517"/>
      <c r="AJ164" s="517"/>
      <c r="AK164" s="517"/>
      <c r="AL164" s="517"/>
      <c r="AM164" s="517"/>
      <c r="AN164" s="517"/>
      <c r="AO164" s="517"/>
      <c r="AP164" s="517"/>
      <c r="AQ164" s="517"/>
      <c r="AR164" s="517"/>
      <c r="AS164" s="517"/>
    </row>
    <row r="165" spans="1:45" ht="18.75">
      <c r="A165" s="508"/>
      <c r="B165" s="517"/>
      <c r="C165" s="518"/>
      <c r="D165" s="518"/>
      <c r="E165" s="563" t="s">
        <v>361</v>
      </c>
      <c r="F165" s="518"/>
      <c r="G165" s="518"/>
      <c r="H165" s="517"/>
      <c r="I165" s="517"/>
      <c r="J165" s="517"/>
      <c r="K165" s="517"/>
      <c r="L165" s="517"/>
      <c r="M165" s="517"/>
      <c r="N165" s="517"/>
      <c r="O165" s="517"/>
      <c r="P165" s="517"/>
      <c r="Q165" s="517"/>
      <c r="R165" s="517"/>
      <c r="S165" s="517"/>
      <c r="T165" s="517"/>
      <c r="U165" s="517"/>
      <c r="V165" s="517"/>
      <c r="W165" s="517"/>
      <c r="X165" s="517"/>
      <c r="Y165" s="517"/>
      <c r="Z165" s="517"/>
      <c r="AA165" s="517"/>
      <c r="AB165" s="517"/>
      <c r="AC165" s="517"/>
      <c r="AD165" s="517"/>
      <c r="AE165" s="517"/>
      <c r="AF165" s="517"/>
      <c r="AG165" s="517"/>
      <c r="AH165" s="517"/>
      <c r="AI165" s="517"/>
      <c r="AJ165" s="517"/>
      <c r="AK165" s="517"/>
      <c r="AL165" s="517"/>
      <c r="AM165" s="517"/>
      <c r="AN165" s="517"/>
      <c r="AO165" s="517"/>
      <c r="AP165" s="517"/>
      <c r="AQ165" s="517"/>
      <c r="AR165" s="517"/>
      <c r="AS165" s="517"/>
    </row>
    <row r="166" spans="1:45" ht="18.75">
      <c r="A166" s="508"/>
      <c r="B166" s="517"/>
      <c r="C166" s="518"/>
      <c r="D166" s="518"/>
      <c r="E166" s="563" t="s">
        <v>362</v>
      </c>
      <c r="F166" s="518"/>
      <c r="G166" s="518"/>
      <c r="H166" s="517"/>
      <c r="I166" s="517"/>
      <c r="J166" s="517"/>
      <c r="K166" s="517"/>
      <c r="L166" s="517"/>
      <c r="M166" s="517"/>
      <c r="N166" s="517"/>
      <c r="O166" s="517"/>
      <c r="P166" s="517"/>
      <c r="Q166" s="517"/>
      <c r="R166" s="517"/>
      <c r="S166" s="517"/>
      <c r="T166" s="517"/>
      <c r="U166" s="517"/>
      <c r="V166" s="517"/>
      <c r="W166" s="517"/>
      <c r="X166" s="517"/>
      <c r="Y166" s="517"/>
      <c r="Z166" s="517"/>
      <c r="AA166" s="517"/>
      <c r="AB166" s="517"/>
      <c r="AC166" s="517"/>
      <c r="AD166" s="517"/>
      <c r="AE166" s="517"/>
      <c r="AF166" s="517"/>
      <c r="AG166" s="517"/>
      <c r="AH166" s="517"/>
      <c r="AI166" s="517"/>
      <c r="AJ166" s="517"/>
      <c r="AK166" s="517"/>
      <c r="AL166" s="517"/>
      <c r="AM166" s="517"/>
      <c r="AN166" s="517"/>
      <c r="AO166" s="517"/>
      <c r="AP166" s="517"/>
      <c r="AQ166" s="517"/>
      <c r="AR166" s="517"/>
      <c r="AS166" s="517"/>
    </row>
    <row r="167" spans="1:45" ht="18.75">
      <c r="A167" s="508"/>
      <c r="B167" s="517"/>
      <c r="C167" s="518"/>
      <c r="D167" s="518"/>
      <c r="E167" s="563" t="s">
        <v>308</v>
      </c>
      <c r="F167" s="518"/>
      <c r="G167" s="518"/>
      <c r="H167" s="517"/>
      <c r="I167" s="517"/>
      <c r="J167" s="517"/>
      <c r="K167" s="517"/>
      <c r="L167" s="517"/>
      <c r="M167" s="517"/>
      <c r="N167" s="517"/>
      <c r="O167" s="517"/>
      <c r="P167" s="517"/>
      <c r="Q167" s="517"/>
      <c r="R167" s="517"/>
      <c r="S167" s="517"/>
      <c r="T167" s="517"/>
      <c r="U167" s="517"/>
      <c r="V167" s="517"/>
      <c r="W167" s="517"/>
      <c r="X167" s="517"/>
      <c r="Y167" s="517"/>
      <c r="Z167" s="517"/>
      <c r="AA167" s="517"/>
      <c r="AB167" s="517"/>
      <c r="AC167" s="517"/>
      <c r="AD167" s="517"/>
      <c r="AE167" s="517"/>
      <c r="AF167" s="517"/>
      <c r="AG167" s="517"/>
      <c r="AH167" s="517"/>
      <c r="AI167" s="517"/>
      <c r="AJ167" s="517"/>
      <c r="AK167" s="517"/>
      <c r="AL167" s="517"/>
      <c r="AM167" s="517"/>
      <c r="AN167" s="517"/>
      <c r="AO167" s="517"/>
      <c r="AP167" s="517"/>
      <c r="AQ167" s="517"/>
      <c r="AR167" s="517"/>
      <c r="AS167" s="517"/>
    </row>
    <row r="168" spans="1:45" ht="18.75">
      <c r="A168" s="508"/>
      <c r="B168" s="517"/>
      <c r="C168" s="518"/>
      <c r="D168" s="518"/>
      <c r="E168" s="518"/>
      <c r="F168" s="518"/>
      <c r="G168" s="518"/>
      <c r="H168" s="517"/>
      <c r="I168" s="517"/>
      <c r="J168" s="517"/>
      <c r="K168" s="517"/>
      <c r="L168" s="517"/>
      <c r="M168" s="517"/>
      <c r="N168" s="517"/>
      <c r="O168" s="517"/>
      <c r="P168" s="517"/>
      <c r="Q168" s="517"/>
      <c r="R168" s="517"/>
      <c r="S168" s="517"/>
      <c r="T168" s="517"/>
      <c r="U168" s="517"/>
      <c r="V168" s="517"/>
      <c r="W168" s="517"/>
      <c r="X168" s="517"/>
      <c r="Y168" s="517"/>
      <c r="Z168" s="517"/>
      <c r="AA168" s="517"/>
      <c r="AB168" s="517"/>
      <c r="AC168" s="517"/>
      <c r="AD168" s="517"/>
      <c r="AE168" s="517"/>
      <c r="AF168" s="517"/>
      <c r="AG168" s="517"/>
      <c r="AH168" s="517"/>
      <c r="AI168" s="517"/>
      <c r="AJ168" s="517"/>
      <c r="AK168" s="517"/>
      <c r="AL168" s="517"/>
      <c r="AM168" s="517"/>
      <c r="AN168" s="517"/>
      <c r="AO168" s="517"/>
      <c r="AP168" s="517"/>
      <c r="AQ168" s="517"/>
      <c r="AR168" s="517"/>
      <c r="AS168" s="517"/>
    </row>
    <row r="169" spans="1:45" ht="18.75">
      <c r="A169" s="508"/>
      <c r="B169" s="517"/>
      <c r="C169" s="518"/>
      <c r="D169" s="518"/>
      <c r="E169" s="498"/>
      <c r="F169" s="518"/>
      <c r="G169" s="518"/>
      <c r="H169" s="517"/>
      <c r="I169" s="517"/>
      <c r="J169" s="517"/>
      <c r="K169" s="517"/>
      <c r="L169" s="517"/>
      <c r="M169" s="517"/>
      <c r="N169" s="517"/>
      <c r="O169" s="517"/>
      <c r="P169" s="517"/>
      <c r="Q169" s="517"/>
      <c r="R169" s="517"/>
      <c r="S169" s="517"/>
      <c r="T169" s="517"/>
      <c r="U169" s="517"/>
      <c r="V169" s="517"/>
      <c r="W169" s="517"/>
      <c r="X169" s="517"/>
      <c r="Y169" s="517"/>
      <c r="Z169" s="517"/>
      <c r="AA169" s="517"/>
      <c r="AB169" s="517"/>
      <c r="AC169" s="517"/>
      <c r="AD169" s="517"/>
      <c r="AE169" s="517"/>
      <c r="AF169" s="517"/>
      <c r="AG169" s="517"/>
      <c r="AH169" s="517"/>
      <c r="AI169" s="517"/>
      <c r="AJ169" s="517"/>
      <c r="AK169" s="517"/>
      <c r="AL169" s="517"/>
      <c r="AM169" s="517"/>
      <c r="AN169" s="517"/>
      <c r="AO169" s="517"/>
      <c r="AP169" s="517"/>
      <c r="AQ169" s="517"/>
      <c r="AR169" s="517"/>
      <c r="AS169" s="517"/>
    </row>
    <row r="170" spans="1:45" ht="18.75">
      <c r="A170" s="508"/>
      <c r="B170" s="517"/>
      <c r="C170" s="518"/>
      <c r="D170" s="518"/>
      <c r="E170" s="518"/>
      <c r="F170" s="518"/>
      <c r="G170" s="518"/>
      <c r="H170" s="517"/>
      <c r="I170" s="517"/>
      <c r="J170" s="517"/>
      <c r="K170" s="517"/>
      <c r="L170" s="517"/>
      <c r="M170" s="517"/>
      <c r="N170" s="517"/>
      <c r="O170" s="517"/>
      <c r="P170" s="517"/>
      <c r="Q170" s="517"/>
      <c r="R170" s="517"/>
      <c r="S170" s="517"/>
      <c r="T170" s="517"/>
      <c r="U170" s="517"/>
      <c r="V170" s="517"/>
      <c r="W170" s="517"/>
      <c r="X170" s="517"/>
      <c r="Y170" s="517"/>
      <c r="Z170" s="517"/>
      <c r="AA170" s="517"/>
      <c r="AB170" s="517"/>
      <c r="AC170" s="517"/>
      <c r="AD170" s="517"/>
      <c r="AE170" s="517"/>
      <c r="AF170" s="517"/>
      <c r="AG170" s="517"/>
      <c r="AH170" s="517"/>
      <c r="AI170" s="517"/>
      <c r="AJ170" s="517"/>
      <c r="AK170" s="517"/>
      <c r="AL170" s="517"/>
      <c r="AM170" s="517"/>
      <c r="AN170" s="517"/>
      <c r="AO170" s="517"/>
      <c r="AP170" s="517"/>
      <c r="AQ170" s="517"/>
      <c r="AR170" s="517"/>
      <c r="AS170" s="517"/>
    </row>
    <row r="171" spans="1:45" ht="18.75">
      <c r="A171" s="508"/>
      <c r="B171" s="517"/>
      <c r="C171" s="518"/>
      <c r="D171" s="518"/>
      <c r="E171" s="518"/>
      <c r="F171" s="518"/>
      <c r="G171" s="518"/>
      <c r="H171" s="517"/>
      <c r="I171" s="517"/>
      <c r="J171" s="517"/>
      <c r="K171" s="517"/>
      <c r="L171" s="517"/>
      <c r="M171" s="517"/>
      <c r="N171" s="517"/>
      <c r="O171" s="517"/>
      <c r="P171" s="517"/>
      <c r="Q171" s="517"/>
      <c r="R171" s="517"/>
      <c r="S171" s="517"/>
      <c r="T171" s="517"/>
      <c r="U171" s="517"/>
      <c r="V171" s="517"/>
      <c r="W171" s="517"/>
      <c r="X171" s="517"/>
      <c r="Y171" s="517"/>
      <c r="Z171" s="517"/>
      <c r="AA171" s="517"/>
      <c r="AB171" s="517"/>
      <c r="AC171" s="517"/>
      <c r="AD171" s="517"/>
      <c r="AE171" s="517"/>
      <c r="AF171" s="517"/>
      <c r="AG171" s="517"/>
      <c r="AH171" s="517"/>
      <c r="AI171" s="517"/>
      <c r="AJ171" s="517"/>
      <c r="AK171" s="517"/>
      <c r="AL171" s="517"/>
      <c r="AM171" s="517"/>
      <c r="AN171" s="517"/>
      <c r="AO171" s="517"/>
      <c r="AP171" s="517"/>
      <c r="AQ171" s="517"/>
      <c r="AR171" s="517"/>
      <c r="AS171" s="517"/>
    </row>
    <row r="172" spans="1:45" ht="18.75">
      <c r="A172" s="508"/>
      <c r="B172" s="517"/>
      <c r="C172" s="518"/>
      <c r="D172" s="518"/>
      <c r="E172" s="518"/>
      <c r="F172" s="518"/>
      <c r="G172" s="518"/>
      <c r="H172" s="517"/>
      <c r="I172" s="517"/>
      <c r="J172" s="517"/>
      <c r="K172" s="517"/>
      <c r="L172" s="517"/>
      <c r="M172" s="517"/>
      <c r="N172" s="517"/>
      <c r="O172" s="517"/>
      <c r="P172" s="517"/>
      <c r="Q172" s="517"/>
      <c r="R172" s="517"/>
      <c r="S172" s="517"/>
      <c r="T172" s="517"/>
      <c r="U172" s="517"/>
      <c r="V172" s="517"/>
      <c r="W172" s="517"/>
      <c r="X172" s="517"/>
      <c r="Y172" s="517"/>
      <c r="Z172" s="517"/>
      <c r="AA172" s="517"/>
      <c r="AB172" s="517"/>
      <c r="AC172" s="517"/>
      <c r="AD172" s="517"/>
      <c r="AE172" s="517"/>
      <c r="AF172" s="517"/>
      <c r="AG172" s="517"/>
      <c r="AH172" s="517"/>
      <c r="AI172" s="517"/>
      <c r="AJ172" s="517"/>
      <c r="AK172" s="517"/>
      <c r="AL172" s="517"/>
      <c r="AM172" s="517"/>
      <c r="AN172" s="517"/>
      <c r="AO172" s="517"/>
      <c r="AP172" s="517"/>
      <c r="AQ172" s="517"/>
      <c r="AR172" s="517"/>
      <c r="AS172" s="517"/>
    </row>
    <row r="173" spans="1:45" ht="18" customHeight="1">
      <c r="A173" s="577" t="s">
        <v>13</v>
      </c>
      <c r="B173" s="577"/>
      <c r="C173" s="577"/>
      <c r="D173" s="578"/>
      <c r="E173" s="578"/>
      <c r="F173" s="518"/>
      <c r="G173" s="518"/>
      <c r="H173" s="517"/>
      <c r="I173" s="517"/>
      <c r="J173" s="517"/>
      <c r="K173" s="517"/>
      <c r="L173" s="517"/>
      <c r="M173" s="517"/>
      <c r="N173" s="517"/>
      <c r="O173" s="517"/>
      <c r="P173" s="517"/>
      <c r="Q173" s="517"/>
      <c r="R173" s="517"/>
      <c r="S173" s="517"/>
      <c r="T173" s="517"/>
      <c r="U173" s="517"/>
      <c r="V173" s="517"/>
      <c r="W173" s="517"/>
      <c r="X173" s="517"/>
      <c r="Y173" s="517"/>
      <c r="Z173" s="517"/>
      <c r="AA173" s="517"/>
      <c r="AB173" s="517"/>
      <c r="AC173" s="517"/>
      <c r="AD173" s="517"/>
      <c r="AE173" s="517"/>
      <c r="AF173" s="517"/>
      <c r="AG173" s="517"/>
      <c r="AH173" s="517"/>
      <c r="AI173" s="517"/>
      <c r="AJ173" s="517"/>
      <c r="AK173" s="517"/>
      <c r="AL173" s="517"/>
      <c r="AM173" s="517"/>
      <c r="AN173" s="517"/>
      <c r="AO173" s="517"/>
      <c r="AP173" s="517"/>
      <c r="AQ173" s="523" t="s">
        <v>364</v>
      </c>
      <c r="AR173" s="523"/>
      <c r="AS173" s="523"/>
    </row>
    <row r="174" spans="1:45">
      <c r="A174" s="262"/>
      <c r="B174" s="262"/>
      <c r="C174" s="263"/>
      <c r="D174" s="263"/>
      <c r="E174" s="264"/>
      <c r="F174" s="264"/>
      <c r="G174" s="265"/>
      <c r="H174" s="262"/>
      <c r="I174" s="266"/>
      <c r="J174" s="262"/>
      <c r="K174" s="267"/>
      <c r="L174" s="262"/>
      <c r="M174" s="262"/>
      <c r="N174" s="262"/>
      <c r="O174" s="262"/>
      <c r="P174" s="262"/>
      <c r="Q174" s="262"/>
      <c r="R174" s="262"/>
      <c r="S174" s="262"/>
      <c r="T174" s="262"/>
      <c r="U174" s="262"/>
      <c r="V174" s="262"/>
      <c r="W174" s="262"/>
      <c r="X174" s="262"/>
      <c r="Y174" s="262"/>
      <c r="Z174" s="262"/>
      <c r="AA174" s="262"/>
      <c r="AB174" s="262"/>
      <c r="AC174" s="262"/>
      <c r="AD174" s="262"/>
      <c r="AE174" s="262"/>
      <c r="AF174" s="262"/>
      <c r="AG174" s="262"/>
      <c r="AH174" s="262"/>
      <c r="AI174" s="262"/>
    </row>
  </sheetData>
  <sheetProtection password="D1AA" sheet="1" objects="1" scenarios="1"/>
  <sortState ref="E124:E129">
    <sortCondition ref="E44:E49"/>
  </sortState>
  <mergeCells count="19">
    <mergeCell ref="AQ173:AS173"/>
    <mergeCell ref="A173:C173"/>
    <mergeCell ref="E1:P1"/>
    <mergeCell ref="O2:P2"/>
    <mergeCell ref="Q2:S2"/>
    <mergeCell ref="T2:V2"/>
    <mergeCell ref="W2:Y2"/>
    <mergeCell ref="AC2:AE2"/>
    <mergeCell ref="AF2:AH2"/>
    <mergeCell ref="AI2:AK2"/>
    <mergeCell ref="AL2:AN2"/>
    <mergeCell ref="E157:P157"/>
    <mergeCell ref="Z2:AB2"/>
    <mergeCell ref="T29:U29"/>
    <mergeCell ref="C126:C155"/>
    <mergeCell ref="C5:C33"/>
    <mergeCell ref="C34:C61"/>
    <mergeCell ref="C62:C79"/>
    <mergeCell ref="C80:C125"/>
  </mergeCells>
  <dataValidations count="1">
    <dataValidation type="list" allowBlank="1" showInputMessage="1" showErrorMessage="1" sqref="E3:E4">
      <formula1>$E$3:$E$151</formula1>
    </dataValidation>
  </dataValidations>
  <hyperlinks>
    <hyperlink ref="E157" r:id="rId1"/>
  </hyperlinks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N223"/>
  <sheetViews>
    <sheetView zoomScale="90" zoomScaleNormal="90" workbookViewId="0">
      <selection sqref="A1:I1"/>
    </sheetView>
  </sheetViews>
  <sheetFormatPr defaultColWidth="8.85546875" defaultRowHeight="14.25"/>
  <cols>
    <col min="1" max="1" width="8.5703125" style="12" bestFit="1" customWidth="1"/>
    <col min="2" max="2" width="46.7109375" style="12" customWidth="1"/>
    <col min="3" max="3" width="24.85546875" style="12" bestFit="1" customWidth="1"/>
    <col min="4" max="4" width="22" style="12" bestFit="1" customWidth="1"/>
    <col min="5" max="5" width="6.5703125" style="12" bestFit="1" customWidth="1"/>
    <col min="6" max="6" width="42.140625" style="12" bestFit="1" customWidth="1"/>
    <col min="7" max="7" width="6.5703125" style="12" bestFit="1" customWidth="1"/>
    <col min="8" max="8" width="16.85546875" style="12" bestFit="1" customWidth="1"/>
    <col min="9" max="9" width="18.7109375" style="12" customWidth="1"/>
    <col min="10" max="12" width="8.85546875" style="12"/>
    <col min="13" max="13" width="12" style="12" bestFit="1" customWidth="1"/>
    <col min="14" max="16384" width="8.85546875" style="12"/>
  </cols>
  <sheetData>
    <row r="1" spans="1:13" ht="24" customHeight="1">
      <c r="A1" s="469" t="s">
        <v>316</v>
      </c>
      <c r="B1" s="469"/>
      <c r="C1" s="469"/>
      <c r="D1" s="469"/>
      <c r="E1" s="469"/>
      <c r="F1" s="469"/>
      <c r="G1" s="469"/>
      <c r="H1" s="469"/>
      <c r="I1" s="470"/>
      <c r="J1" s="8"/>
      <c r="K1" s="9"/>
      <c r="L1" s="10"/>
      <c r="M1" s="11"/>
    </row>
    <row r="2" spans="1:13" ht="17.45" customHeight="1">
      <c r="A2" s="13"/>
      <c r="B2" s="13"/>
      <c r="C2" s="14"/>
      <c r="D2" s="14"/>
      <c r="E2" s="13"/>
      <c r="F2" s="13"/>
      <c r="G2" s="13"/>
      <c r="H2" s="13"/>
      <c r="I2" s="15"/>
      <c r="J2" s="8"/>
      <c r="K2" s="9"/>
      <c r="L2" s="10"/>
      <c r="M2" s="11"/>
    </row>
    <row r="3" spans="1:13" ht="18">
      <c r="A3" s="16"/>
      <c r="B3" s="17"/>
      <c r="C3" s="14"/>
      <c r="D3" s="14"/>
      <c r="E3" s="17"/>
      <c r="F3" s="17"/>
      <c r="G3" s="17"/>
      <c r="H3" s="472" t="s">
        <v>145</v>
      </c>
      <c r="I3" s="473"/>
      <c r="J3" s="8"/>
      <c r="K3" s="9"/>
      <c r="L3" s="18"/>
      <c r="M3" s="11"/>
    </row>
    <row r="4" spans="1:13" ht="18">
      <c r="A4" s="16"/>
      <c r="B4" s="19" t="s">
        <v>303</v>
      </c>
      <c r="C4" s="20" t="s">
        <v>267</v>
      </c>
      <c r="D4" s="21" t="s">
        <v>297</v>
      </c>
      <c r="E4" s="22"/>
      <c r="F4" s="23" t="s">
        <v>254</v>
      </c>
      <c r="G4" s="17"/>
      <c r="H4" s="474" t="s">
        <v>243</v>
      </c>
      <c r="I4" s="475"/>
      <c r="J4" s="8"/>
      <c r="K4" s="9"/>
      <c r="L4" s="18"/>
      <c r="M4" s="11"/>
    </row>
    <row r="5" spans="1:13" ht="18">
      <c r="A5" s="16"/>
      <c r="B5" s="24" t="s">
        <v>304</v>
      </c>
      <c r="C5" s="25">
        <f>1000-D7</f>
        <v>838.45006276325284</v>
      </c>
      <c r="D5" s="6">
        <v>261.54993723674698</v>
      </c>
      <c r="E5" s="22"/>
      <c r="F5" s="26">
        <f>+C7+D5</f>
        <v>1099.9999999999998</v>
      </c>
      <c r="G5" s="27"/>
      <c r="H5" s="17" t="s">
        <v>244</v>
      </c>
      <c r="I5" s="28" t="s">
        <v>245</v>
      </c>
      <c r="J5" s="8"/>
      <c r="K5" s="29"/>
      <c r="L5" s="18"/>
      <c r="M5" s="11"/>
    </row>
    <row r="6" spans="1:13" ht="18">
      <c r="A6" s="16"/>
      <c r="B6" s="466" t="s">
        <v>251</v>
      </c>
      <c r="C6" s="30" t="s">
        <v>298</v>
      </c>
      <c r="D6" s="31" t="s">
        <v>266</v>
      </c>
      <c r="E6" s="27"/>
      <c r="F6" s="27"/>
      <c r="G6" s="27"/>
      <c r="H6" s="27">
        <v>145</v>
      </c>
      <c r="I6" s="28" t="s">
        <v>240</v>
      </c>
      <c r="J6" s="8"/>
      <c r="K6" s="9"/>
      <c r="L6" s="18"/>
      <c r="M6" s="11"/>
    </row>
    <row r="7" spans="1:13" ht="18">
      <c r="A7" s="16"/>
      <c r="B7" s="467"/>
      <c r="C7" s="32">
        <f>+C5</f>
        <v>838.45006276325284</v>
      </c>
      <c r="D7" s="33">
        <f>+D5/H8</f>
        <v>161.5499372367471</v>
      </c>
      <c r="E7" s="17"/>
      <c r="F7" s="23" t="s">
        <v>255</v>
      </c>
      <c r="G7" s="27"/>
      <c r="H7" s="472" t="s">
        <v>269</v>
      </c>
      <c r="I7" s="473"/>
      <c r="J7" s="8"/>
      <c r="K7" s="29"/>
      <c r="L7" s="18"/>
      <c r="M7" s="11"/>
    </row>
    <row r="8" spans="1:13" ht="18">
      <c r="A8" s="16"/>
      <c r="B8" s="34"/>
      <c r="C8" s="14"/>
      <c r="D8" s="14"/>
      <c r="E8" s="27"/>
      <c r="F8" s="35">
        <f>+C5+D7</f>
        <v>1000</v>
      </c>
      <c r="G8" s="27"/>
      <c r="H8" s="36">
        <v>1.6190036450057703</v>
      </c>
      <c r="I8" s="28" t="s">
        <v>268</v>
      </c>
      <c r="J8" s="8"/>
      <c r="K8" s="29"/>
      <c r="L8" s="18"/>
      <c r="M8" s="11"/>
    </row>
    <row r="9" spans="1:13" ht="18">
      <c r="A9" s="16"/>
      <c r="B9" s="37" t="s">
        <v>300</v>
      </c>
      <c r="C9" s="38"/>
      <c r="D9" s="39"/>
      <c r="E9" s="40"/>
      <c r="F9" s="41" t="s">
        <v>256</v>
      </c>
      <c r="G9" s="38"/>
      <c r="H9" s="42">
        <f>+D5/F5</f>
        <v>0.23777267021522458</v>
      </c>
      <c r="I9" s="28"/>
      <c r="J9" s="8"/>
      <c r="K9" s="29"/>
      <c r="L9" s="18"/>
      <c r="M9" s="11"/>
    </row>
    <row r="10" spans="1:13" ht="18">
      <c r="A10" s="16"/>
      <c r="B10" s="37" t="s">
        <v>301</v>
      </c>
      <c r="C10" s="38"/>
      <c r="D10" s="39"/>
      <c r="E10" s="40"/>
      <c r="F10" s="41" t="s">
        <v>257</v>
      </c>
      <c r="G10" s="38"/>
      <c r="H10" s="43">
        <f>+F5/F8</f>
        <v>1.0999999999999999</v>
      </c>
      <c r="I10" s="44"/>
      <c r="J10" s="45"/>
      <c r="K10" s="46"/>
      <c r="L10" s="18"/>
      <c r="M10" s="11"/>
    </row>
    <row r="11" spans="1:13" ht="18">
      <c r="A11" s="16"/>
      <c r="B11" s="37" t="s">
        <v>253</v>
      </c>
      <c r="C11" s="14"/>
      <c r="D11" s="14"/>
      <c r="E11" s="14"/>
      <c r="F11" s="47" t="s">
        <v>252</v>
      </c>
      <c r="G11" s="14"/>
      <c r="H11" s="48">
        <f>+(H10-1)*1000</f>
        <v>99.999999999999872</v>
      </c>
      <c r="I11" s="49"/>
      <c r="J11" s="8"/>
      <c r="K11" s="9"/>
      <c r="L11" s="18"/>
      <c r="M11" s="11"/>
    </row>
    <row r="12" spans="1:13" ht="18">
      <c r="A12" s="16"/>
      <c r="B12" s="37" t="s">
        <v>302</v>
      </c>
      <c r="C12" s="38"/>
      <c r="D12" s="39"/>
      <c r="E12" s="40"/>
      <c r="F12" s="41" t="s">
        <v>246</v>
      </c>
      <c r="G12" s="38"/>
      <c r="H12" s="50">
        <f>+H6-(H6/H10)</f>
        <v>13.181818181818159</v>
      </c>
      <c r="I12" s="44"/>
      <c r="J12" s="8"/>
      <c r="K12" s="9"/>
      <c r="L12" s="18"/>
      <c r="M12" s="11"/>
    </row>
    <row r="13" spans="1:13" ht="18">
      <c r="A13" s="16"/>
      <c r="B13" s="37" t="s">
        <v>259</v>
      </c>
      <c r="C13" s="51"/>
      <c r="D13" s="51"/>
      <c r="E13" s="51"/>
      <c r="F13" s="47" t="s">
        <v>299</v>
      </c>
      <c r="G13" s="14"/>
      <c r="H13" s="50">
        <f>('Most Skema'!$Z$11*H10^3)-('Most Skema'!$Z$12*H10^2)+('Most Skema'!$Z$13*H10)-'Most Skema'!$Z$14</f>
        <v>23.776874000000021</v>
      </c>
      <c r="I13" s="52"/>
      <c r="J13" s="8"/>
      <c r="K13" s="9"/>
      <c r="L13" s="18"/>
      <c r="M13" s="11"/>
    </row>
    <row r="14" spans="1:13" ht="18">
      <c r="A14" s="16"/>
      <c r="B14" s="51"/>
      <c r="C14" s="51"/>
      <c r="D14" s="51"/>
      <c r="E14" s="51"/>
      <c r="F14" s="53" t="s">
        <v>112</v>
      </c>
      <c r="G14" s="14"/>
      <c r="H14" s="54">
        <f>+H12*'Most Skema'!$J$2</f>
        <v>20.168181818181782</v>
      </c>
      <c r="I14" s="44"/>
      <c r="J14" s="8"/>
      <c r="K14" s="9"/>
      <c r="L14" s="18"/>
      <c r="M14" s="11"/>
    </row>
    <row r="15" spans="1:13" ht="18">
      <c r="A15" s="16"/>
      <c r="B15" s="37" t="s">
        <v>258</v>
      </c>
      <c r="C15" s="51"/>
      <c r="D15" s="51"/>
      <c r="E15" s="51"/>
      <c r="F15" s="41" t="s">
        <v>249</v>
      </c>
      <c r="G15" s="38"/>
      <c r="H15" s="42">
        <f>+(((((D5/'Most Skema'!$Z$26)*'Most Skema'!$Z$27)/'Most Skema'!$Z$28)/'Most Skema'!$Z$29)*'Most Skema'!$Z$31)/100</f>
        <v>0.15704398109536061</v>
      </c>
      <c r="I15" s="55"/>
      <c r="J15" s="8"/>
      <c r="K15" s="9"/>
      <c r="L15" s="18"/>
      <c r="M15" s="11"/>
    </row>
    <row r="16" spans="1:13" ht="18">
      <c r="A16" s="16"/>
      <c r="B16" s="38"/>
      <c r="C16" s="56"/>
      <c r="D16" s="39"/>
      <c r="E16" s="39"/>
      <c r="F16" s="57" t="s">
        <v>314</v>
      </c>
      <c r="G16" s="58"/>
      <c r="H16" s="42">
        <f>+(((((D5/'Most Skema'!$Z$26)*'Most Skema'!$Z$27)/'Most Skema'!$Z$28)/'Most Skema'!$Z$29)/100)</f>
        <v>0.17845906942654616</v>
      </c>
      <c r="I16" s="55"/>
      <c r="J16" s="8"/>
      <c r="K16" s="9"/>
      <c r="L16" s="18"/>
      <c r="M16" s="11"/>
    </row>
    <row r="17" spans="1:13" ht="18">
      <c r="A17" s="16"/>
      <c r="B17" s="37" t="s">
        <v>260</v>
      </c>
      <c r="C17" s="56"/>
      <c r="D17" s="56"/>
      <c r="E17" s="56"/>
      <c r="F17" s="478" t="str">
        <f>+'Most Skema'!T29</f>
        <v xml:space="preserve">% utilization of sugar </v>
      </c>
      <c r="G17" s="478"/>
      <c r="H17" s="59">
        <f>+H15/H16</f>
        <v>0.87999999999999989</v>
      </c>
      <c r="I17" s="60"/>
      <c r="J17" s="8"/>
      <c r="K17" s="9"/>
      <c r="L17" s="18"/>
      <c r="M17" s="11"/>
    </row>
    <row r="18" spans="1:13" ht="18">
      <c r="A18" s="16"/>
      <c r="B18" s="39"/>
      <c r="C18" s="56"/>
      <c r="D18" s="39"/>
      <c r="E18" s="39"/>
      <c r="F18" s="61"/>
      <c r="G18" s="56"/>
      <c r="H18" s="17"/>
      <c r="I18" s="62"/>
      <c r="J18" s="8"/>
      <c r="K18" s="9"/>
      <c r="L18" s="18"/>
      <c r="M18" s="11"/>
    </row>
    <row r="19" spans="1:13" ht="18">
      <c r="A19" s="16"/>
      <c r="B19" s="37" t="s">
        <v>315</v>
      </c>
      <c r="C19" s="56"/>
      <c r="D19" s="17"/>
      <c r="E19" s="17"/>
      <c r="F19" s="27"/>
      <c r="G19" s="39"/>
      <c r="H19" s="17"/>
      <c r="I19" s="62"/>
      <c r="J19" s="8"/>
      <c r="K19" s="9"/>
      <c r="L19" s="18"/>
      <c r="M19" s="11"/>
    </row>
    <row r="20" spans="1:13" ht="18">
      <c r="A20" s="16"/>
      <c r="B20" s="39"/>
      <c r="C20" s="56"/>
      <c r="D20" s="39"/>
      <c r="E20" s="39"/>
      <c r="F20" s="39"/>
      <c r="G20" s="17"/>
      <c r="H20" s="17"/>
      <c r="I20" s="62"/>
      <c r="J20" s="8"/>
      <c r="K20" s="9"/>
      <c r="L20" s="18"/>
      <c r="M20" s="11"/>
    </row>
    <row r="21" spans="1:13" ht="18">
      <c r="A21" s="16"/>
      <c r="B21" s="37" t="s">
        <v>261</v>
      </c>
      <c r="C21" s="56"/>
      <c r="D21" s="17"/>
      <c r="E21" s="17"/>
      <c r="F21" s="63"/>
      <c r="G21" s="39"/>
      <c r="H21" s="17"/>
      <c r="I21" s="62"/>
      <c r="J21" s="8"/>
      <c r="K21" s="9"/>
      <c r="L21" s="18"/>
      <c r="M21" s="11"/>
    </row>
    <row r="22" spans="1:13" ht="18">
      <c r="A22" s="16"/>
      <c r="B22" s="39"/>
      <c r="C22" s="56"/>
      <c r="D22" s="39"/>
      <c r="E22" s="39"/>
      <c r="F22" s="39"/>
      <c r="G22" s="17"/>
      <c r="H22" s="17"/>
      <c r="I22" s="62"/>
      <c r="J22" s="8"/>
      <c r="K22" s="9"/>
      <c r="L22" s="18"/>
      <c r="M22" s="11"/>
    </row>
    <row r="23" spans="1:13" ht="18">
      <c r="A23" s="64"/>
      <c r="B23" s="37" t="s">
        <v>262</v>
      </c>
      <c r="C23" s="56"/>
      <c r="D23" s="65"/>
      <c r="E23" s="17"/>
      <c r="F23" s="17"/>
      <c r="G23" s="39"/>
      <c r="H23" s="17"/>
      <c r="I23" s="62"/>
      <c r="J23" s="8"/>
      <c r="K23" s="9"/>
      <c r="L23" s="18"/>
      <c r="M23" s="11"/>
    </row>
    <row r="24" spans="1:13" ht="18">
      <c r="A24" s="16"/>
      <c r="B24" s="38"/>
      <c r="C24" s="56"/>
      <c r="D24" s="39"/>
      <c r="E24" s="39"/>
      <c r="F24" s="39"/>
      <c r="G24" s="17"/>
      <c r="H24" s="27"/>
      <c r="I24" s="62"/>
      <c r="J24" s="8"/>
      <c r="K24" s="9"/>
      <c r="L24" s="18"/>
      <c r="M24" s="11"/>
    </row>
    <row r="25" spans="1:13" ht="18">
      <c r="A25" s="16"/>
      <c r="B25" s="66"/>
      <c r="C25" s="14"/>
      <c r="D25" s="477" t="s">
        <v>248</v>
      </c>
      <c r="E25" s="477"/>
      <c r="F25" s="477"/>
      <c r="G25" s="39"/>
      <c r="H25" s="17"/>
      <c r="I25" s="62"/>
      <c r="J25" s="8"/>
      <c r="K25" s="9"/>
      <c r="L25" s="18"/>
      <c r="M25" s="11"/>
    </row>
    <row r="26" spans="1:13" ht="18">
      <c r="A26" s="16"/>
      <c r="B26" s="67" t="s">
        <v>270</v>
      </c>
      <c r="C26" s="14"/>
      <c r="D26" s="476" t="s">
        <v>241</v>
      </c>
      <c r="E26" s="476"/>
      <c r="F26" s="476"/>
      <c r="G26" s="17"/>
      <c r="H26" s="17"/>
      <c r="I26" s="62"/>
      <c r="J26" s="8"/>
      <c r="K26" s="9"/>
      <c r="L26" s="18"/>
      <c r="M26" s="11"/>
    </row>
    <row r="27" spans="1:13" ht="18.75" thickBot="1">
      <c r="A27" s="68"/>
      <c r="B27" s="69"/>
      <c r="C27" s="69"/>
      <c r="D27" s="69"/>
      <c r="E27" s="69"/>
      <c r="F27" s="69"/>
      <c r="G27" s="69"/>
      <c r="H27" s="70"/>
      <c r="I27" s="71"/>
      <c r="J27" s="8"/>
      <c r="K27" s="9"/>
      <c r="L27" s="18"/>
      <c r="M27" s="11"/>
    </row>
    <row r="28" spans="1:13" ht="18">
      <c r="A28" s="72"/>
      <c r="B28" s="73"/>
      <c r="C28" s="74"/>
      <c r="D28" s="75"/>
      <c r="E28" s="76"/>
      <c r="F28" s="76"/>
      <c r="G28" s="76"/>
      <c r="H28" s="76"/>
      <c r="I28" s="77"/>
      <c r="J28" s="8"/>
      <c r="K28" s="9"/>
      <c r="L28" s="18"/>
      <c r="M28" s="11"/>
    </row>
    <row r="29" spans="1:13" ht="18">
      <c r="A29" s="78"/>
      <c r="B29" s="471" t="s">
        <v>265</v>
      </c>
      <c r="C29" s="471"/>
      <c r="D29" s="471"/>
      <c r="E29" s="79"/>
      <c r="F29" s="79"/>
      <c r="G29" s="79"/>
      <c r="H29" s="79"/>
      <c r="I29" s="80"/>
      <c r="J29" s="8"/>
      <c r="K29" s="81"/>
      <c r="L29" s="81"/>
      <c r="M29" s="11"/>
    </row>
    <row r="30" spans="1:13" ht="18">
      <c r="A30" s="78"/>
      <c r="B30" s="82" t="s">
        <v>263</v>
      </c>
      <c r="C30" s="468" t="s">
        <v>264</v>
      </c>
      <c r="D30" s="468"/>
      <c r="E30" s="79"/>
      <c r="F30" s="79"/>
      <c r="G30" s="79"/>
      <c r="H30" s="83"/>
      <c r="I30" s="84"/>
      <c r="J30" s="8"/>
      <c r="K30" s="81"/>
      <c r="L30" s="81"/>
      <c r="M30" s="11"/>
    </row>
    <row r="31" spans="1:13" ht="18">
      <c r="A31" s="78"/>
      <c r="B31" s="82">
        <v>50</v>
      </c>
      <c r="C31" s="85">
        <v>259</v>
      </c>
      <c r="D31" s="79"/>
      <c r="E31" s="79"/>
      <c r="F31" s="79"/>
      <c r="G31" s="79"/>
      <c r="H31" s="79"/>
      <c r="I31" s="80"/>
      <c r="J31" s="8"/>
      <c r="K31" s="81"/>
      <c r="L31" s="81"/>
      <c r="M31" s="11"/>
    </row>
    <row r="32" spans="1:13" ht="18">
      <c r="A32" s="78"/>
      <c r="B32" s="82">
        <v>55</v>
      </c>
      <c r="C32" s="85">
        <v>273</v>
      </c>
      <c r="D32" s="85"/>
      <c r="E32" s="86"/>
      <c r="F32" s="86"/>
      <c r="G32" s="86"/>
      <c r="H32" s="86"/>
      <c r="I32" s="80"/>
      <c r="J32" s="8"/>
      <c r="K32" s="81"/>
      <c r="L32" s="81"/>
      <c r="M32" s="11"/>
    </row>
    <row r="33" spans="1:13" ht="18">
      <c r="A33" s="78"/>
      <c r="B33" s="82">
        <v>60</v>
      </c>
      <c r="C33" s="85">
        <v>289</v>
      </c>
      <c r="D33" s="85"/>
      <c r="E33" s="79"/>
      <c r="F33" s="79"/>
      <c r="G33" s="79"/>
      <c r="H33" s="79"/>
      <c r="I33" s="80"/>
      <c r="J33" s="8"/>
      <c r="K33" s="81"/>
      <c r="L33" s="81"/>
      <c r="M33" s="11"/>
    </row>
    <row r="34" spans="1:13" ht="18">
      <c r="A34" s="78"/>
      <c r="B34" s="82">
        <v>65</v>
      </c>
      <c r="C34" s="85">
        <v>306</v>
      </c>
      <c r="D34" s="85"/>
      <c r="E34" s="79"/>
      <c r="F34" s="79"/>
      <c r="G34" s="79"/>
      <c r="H34" s="79"/>
      <c r="I34" s="80"/>
      <c r="J34" s="8"/>
      <c r="K34" s="81"/>
      <c r="L34" s="81"/>
      <c r="M34" s="11"/>
    </row>
    <row r="35" spans="1:13" ht="18">
      <c r="A35" s="78"/>
      <c r="B35" s="82">
        <v>70</v>
      </c>
      <c r="C35" s="85">
        <v>325</v>
      </c>
      <c r="D35" s="85"/>
      <c r="E35" s="79"/>
      <c r="F35" s="79"/>
      <c r="G35" s="79"/>
      <c r="H35" s="79"/>
      <c r="I35" s="80"/>
      <c r="J35" s="8"/>
      <c r="K35" s="81"/>
      <c r="L35" s="81"/>
      <c r="M35" s="11"/>
    </row>
    <row r="36" spans="1:13" ht="18">
      <c r="A36" s="87"/>
      <c r="B36" s="82">
        <v>75</v>
      </c>
      <c r="C36" s="85">
        <v>346</v>
      </c>
      <c r="D36" s="85"/>
      <c r="E36" s="88"/>
      <c r="F36" s="88"/>
      <c r="G36" s="89"/>
      <c r="H36" s="82"/>
      <c r="I36" s="80"/>
      <c r="J36" s="8"/>
      <c r="K36" s="81"/>
      <c r="L36" s="81"/>
      <c r="M36" s="11"/>
    </row>
    <row r="37" spans="1:13" ht="18">
      <c r="A37" s="78"/>
      <c r="B37" s="82">
        <v>80</v>
      </c>
      <c r="C37" s="85">
        <v>369</v>
      </c>
      <c r="D37" s="85"/>
      <c r="E37" s="79"/>
      <c r="F37" s="79"/>
      <c r="G37" s="79"/>
      <c r="H37" s="79"/>
      <c r="I37" s="80"/>
      <c r="J37" s="8"/>
      <c r="K37" s="81"/>
      <c r="L37" s="81"/>
      <c r="M37" s="11"/>
    </row>
    <row r="38" spans="1:13" ht="18">
      <c r="A38" s="90"/>
      <c r="B38" s="82">
        <v>85</v>
      </c>
      <c r="C38" s="85">
        <v>394</v>
      </c>
      <c r="D38" s="85"/>
      <c r="E38" s="91"/>
      <c r="F38" s="91"/>
      <c r="G38" s="91"/>
      <c r="H38" s="91"/>
      <c r="I38" s="92"/>
      <c r="J38" s="8"/>
      <c r="K38" s="9"/>
      <c r="L38" s="9"/>
      <c r="M38" s="11"/>
    </row>
    <row r="39" spans="1:13" ht="18">
      <c r="A39" s="78"/>
      <c r="B39" s="82">
        <v>90</v>
      </c>
      <c r="C39" s="85">
        <v>420</v>
      </c>
      <c r="D39" s="85"/>
      <c r="E39" s="79"/>
      <c r="F39" s="79"/>
      <c r="G39" s="79"/>
      <c r="H39" s="79"/>
      <c r="I39" s="80"/>
      <c r="J39" s="8"/>
      <c r="K39" s="81"/>
      <c r="L39" s="81"/>
      <c r="M39" s="11"/>
    </row>
    <row r="40" spans="1:13" ht="18">
      <c r="A40" s="78"/>
      <c r="B40" s="93"/>
      <c r="C40" s="93"/>
      <c r="D40" s="93"/>
      <c r="E40" s="79"/>
      <c r="F40" s="79"/>
      <c r="G40" s="79"/>
      <c r="H40" s="79"/>
      <c r="I40" s="80"/>
      <c r="J40" s="8"/>
      <c r="K40" s="81"/>
      <c r="L40" s="81"/>
      <c r="M40" s="11"/>
    </row>
    <row r="41" spans="1:13" ht="18">
      <c r="A41" s="78"/>
      <c r="B41" s="93"/>
      <c r="C41" s="93"/>
      <c r="D41" s="93"/>
      <c r="E41" s="79"/>
      <c r="F41" s="79"/>
      <c r="G41" s="79"/>
      <c r="H41" s="79"/>
      <c r="I41" s="80"/>
      <c r="J41" s="8"/>
      <c r="K41" s="81"/>
      <c r="L41" s="81"/>
      <c r="M41" s="11"/>
    </row>
    <row r="42" spans="1:13" ht="18">
      <c r="A42" s="78"/>
      <c r="B42" s="93"/>
      <c r="C42" s="93"/>
      <c r="D42" s="93"/>
      <c r="E42" s="79"/>
      <c r="F42" s="79"/>
      <c r="G42" s="79"/>
      <c r="H42" s="79"/>
      <c r="I42" s="80"/>
      <c r="J42" s="8"/>
      <c r="K42" s="81"/>
      <c r="L42" s="81"/>
      <c r="M42" s="11"/>
    </row>
    <row r="43" spans="1:13" ht="18">
      <c r="A43" s="78"/>
      <c r="B43" s="93"/>
      <c r="C43" s="93"/>
      <c r="D43" s="93"/>
      <c r="E43" s="79"/>
      <c r="F43" s="79"/>
      <c r="G43" s="79"/>
      <c r="H43" s="79"/>
      <c r="I43" s="80"/>
      <c r="J43" s="8"/>
      <c r="K43" s="81"/>
      <c r="L43" s="81"/>
      <c r="M43" s="11"/>
    </row>
    <row r="44" spans="1:13" ht="18">
      <c r="A44" s="78"/>
      <c r="B44" s="93"/>
      <c r="C44" s="93"/>
      <c r="D44" s="93"/>
      <c r="E44" s="79"/>
      <c r="F44" s="79"/>
      <c r="G44" s="79"/>
      <c r="H44" s="79"/>
      <c r="I44" s="80"/>
      <c r="J44" s="8"/>
      <c r="K44" s="81"/>
      <c r="L44" s="81"/>
      <c r="M44" s="11"/>
    </row>
    <row r="45" spans="1:13" ht="18">
      <c r="A45" s="78"/>
      <c r="B45" s="93"/>
      <c r="C45" s="93"/>
      <c r="D45" s="93"/>
      <c r="E45" s="79"/>
      <c r="F45" s="79"/>
      <c r="G45" s="79"/>
      <c r="H45" s="79"/>
      <c r="I45" s="80"/>
      <c r="J45" s="8"/>
      <c r="K45" s="81"/>
      <c r="L45" s="81"/>
      <c r="M45" s="11"/>
    </row>
    <row r="46" spans="1:13" ht="18">
      <c r="A46" s="78"/>
      <c r="B46" s="93"/>
      <c r="C46" s="93"/>
      <c r="D46" s="93"/>
      <c r="E46" s="79"/>
      <c r="F46" s="79"/>
      <c r="G46" s="79"/>
      <c r="H46" s="79"/>
      <c r="I46" s="80"/>
      <c r="J46" s="8"/>
      <c r="K46" s="81"/>
      <c r="L46" s="81"/>
      <c r="M46" s="11"/>
    </row>
    <row r="47" spans="1:13" ht="18">
      <c r="A47" s="78"/>
      <c r="B47" s="93"/>
      <c r="C47" s="93"/>
      <c r="D47" s="93"/>
      <c r="E47" s="79"/>
      <c r="F47" s="79"/>
      <c r="G47" s="79"/>
      <c r="H47" s="79"/>
      <c r="I47" s="80"/>
      <c r="J47" s="8"/>
      <c r="K47" s="81"/>
      <c r="L47" s="81"/>
      <c r="M47" s="11"/>
    </row>
    <row r="48" spans="1:13" ht="18">
      <c r="A48" s="78"/>
      <c r="B48" s="93"/>
      <c r="C48" s="93"/>
      <c r="D48" s="93"/>
      <c r="E48" s="79"/>
      <c r="F48" s="79"/>
      <c r="G48" s="79"/>
      <c r="H48" s="79"/>
      <c r="I48" s="80"/>
      <c r="J48" s="8"/>
      <c r="K48" s="81"/>
      <c r="L48" s="81"/>
      <c r="M48" s="11"/>
    </row>
    <row r="49" spans="1:13" ht="18">
      <c r="A49" s="78"/>
      <c r="B49" s="93"/>
      <c r="C49" s="93"/>
      <c r="D49" s="93"/>
      <c r="E49" s="79"/>
      <c r="F49" s="79"/>
      <c r="G49" s="79"/>
      <c r="H49" s="79"/>
      <c r="I49" s="80"/>
      <c r="J49" s="8"/>
      <c r="K49" s="81"/>
      <c r="L49" s="81"/>
      <c r="M49" s="11"/>
    </row>
    <row r="50" spans="1:13" ht="18">
      <c r="A50" s="78"/>
      <c r="B50" s="79"/>
      <c r="C50" s="94"/>
      <c r="D50" s="85"/>
      <c r="E50" s="79"/>
      <c r="F50" s="79"/>
      <c r="G50" s="79"/>
      <c r="H50" s="79"/>
      <c r="I50" s="80"/>
      <c r="J50" s="95"/>
      <c r="K50" s="81"/>
      <c r="L50" s="81"/>
      <c r="M50" s="11"/>
    </row>
    <row r="51" spans="1:13" ht="18">
      <c r="A51" s="78"/>
      <c r="B51" s="79"/>
      <c r="C51" s="94"/>
      <c r="D51" s="79"/>
      <c r="E51" s="79"/>
      <c r="F51" s="79"/>
      <c r="G51" s="79"/>
      <c r="H51" s="79"/>
      <c r="I51" s="80"/>
      <c r="J51" s="96"/>
      <c r="K51" s="81"/>
      <c r="L51" s="81"/>
      <c r="M51" s="11"/>
    </row>
    <row r="52" spans="1:13" ht="18">
      <c r="A52" s="78"/>
      <c r="B52" s="79"/>
      <c r="C52" s="79"/>
      <c r="D52" s="79"/>
      <c r="E52" s="79"/>
      <c r="F52" s="79"/>
      <c r="G52" s="79"/>
      <c r="H52" s="79"/>
      <c r="I52" s="80"/>
      <c r="J52" s="96"/>
      <c r="K52" s="81"/>
      <c r="L52" s="81"/>
      <c r="M52" s="11"/>
    </row>
    <row r="53" spans="1:13" ht="18.75" thickBot="1">
      <c r="A53" s="97"/>
      <c r="B53" s="98"/>
      <c r="C53" s="98"/>
      <c r="D53" s="98"/>
      <c r="E53" s="98"/>
      <c r="F53" s="98"/>
      <c r="G53" s="99"/>
      <c r="H53" s="99"/>
      <c r="I53" s="100"/>
      <c r="J53" s="9"/>
      <c r="K53" s="9"/>
      <c r="L53" s="9"/>
      <c r="M53" s="11"/>
    </row>
    <row r="54" spans="1:13" ht="14.45" customHeight="1">
      <c r="A54" s="567" t="s">
        <v>242</v>
      </c>
      <c r="B54" s="568"/>
      <c r="C54" s="568"/>
      <c r="D54" s="568"/>
      <c r="E54" s="568"/>
      <c r="F54" s="568"/>
      <c r="G54" s="568"/>
      <c r="H54" s="568"/>
      <c r="I54" s="569"/>
      <c r="J54" s="9"/>
      <c r="K54" s="9"/>
      <c r="L54" s="9"/>
      <c r="M54" s="11"/>
    </row>
    <row r="55" spans="1:13" ht="14.45" customHeight="1">
      <c r="A55" s="570"/>
      <c r="B55" s="571"/>
      <c r="C55" s="571"/>
      <c r="D55" s="571"/>
      <c r="E55" s="571"/>
      <c r="F55" s="571"/>
      <c r="G55" s="571"/>
      <c r="H55" s="571"/>
      <c r="I55" s="572"/>
      <c r="J55" s="9"/>
      <c r="K55" s="9"/>
      <c r="L55" s="9"/>
      <c r="M55" s="11"/>
    </row>
    <row r="56" spans="1:13" ht="14.45" customHeight="1" thickBot="1">
      <c r="A56" s="573"/>
      <c r="B56" s="574"/>
      <c r="C56" s="574"/>
      <c r="D56" s="574"/>
      <c r="E56" s="574"/>
      <c r="F56" s="574"/>
      <c r="G56" s="574"/>
      <c r="H56" s="574"/>
      <c r="I56" s="575"/>
      <c r="J56" s="9"/>
      <c r="K56" s="9"/>
      <c r="L56" s="9"/>
      <c r="M56" s="11"/>
    </row>
    <row r="57" spans="1:13" ht="18">
      <c r="A57" s="101"/>
      <c r="B57" s="102"/>
      <c r="C57" s="102"/>
      <c r="D57" s="102"/>
      <c r="E57" s="102"/>
      <c r="F57" s="102"/>
      <c r="G57" s="102"/>
      <c r="H57" s="102"/>
      <c r="I57" s="103"/>
      <c r="J57" s="9"/>
      <c r="K57" s="9"/>
      <c r="L57" s="9"/>
      <c r="M57" s="11"/>
    </row>
    <row r="58" spans="1:13" ht="18">
      <c r="A58" s="104"/>
      <c r="B58" s="93"/>
      <c r="C58" s="93"/>
      <c r="D58" s="93"/>
      <c r="E58" s="93"/>
      <c r="F58" s="93"/>
      <c r="G58" s="93"/>
      <c r="H58" s="93"/>
      <c r="I58" s="105"/>
      <c r="J58" s="9"/>
      <c r="K58" s="9"/>
      <c r="L58" s="9"/>
      <c r="M58" s="11"/>
    </row>
    <row r="59" spans="1:13" ht="18">
      <c r="A59" s="104"/>
      <c r="B59" s="93"/>
      <c r="C59" s="93"/>
      <c r="D59" s="93"/>
      <c r="E59" s="93"/>
      <c r="F59" s="93"/>
      <c r="G59" s="93"/>
      <c r="H59" s="93"/>
      <c r="I59" s="105"/>
      <c r="J59" s="9"/>
      <c r="K59" s="9"/>
      <c r="L59" s="9"/>
      <c r="M59" s="11"/>
    </row>
    <row r="60" spans="1:13" ht="18">
      <c r="A60" s="104"/>
      <c r="B60" s="93"/>
      <c r="C60" s="93"/>
      <c r="D60" s="93"/>
      <c r="E60" s="93"/>
      <c r="F60" s="93"/>
      <c r="G60" s="93"/>
      <c r="H60" s="93"/>
      <c r="I60" s="105"/>
      <c r="J60" s="9"/>
      <c r="K60" s="9"/>
      <c r="L60" s="9"/>
      <c r="M60" s="11"/>
    </row>
    <row r="61" spans="1:13" ht="18">
      <c r="A61" s="104"/>
      <c r="B61" s="93"/>
      <c r="C61" s="93"/>
      <c r="D61" s="93"/>
      <c r="E61" s="93"/>
      <c r="F61" s="93"/>
      <c r="G61" s="93"/>
      <c r="H61" s="93"/>
      <c r="I61" s="105"/>
      <c r="J61" s="9"/>
      <c r="K61" s="9"/>
      <c r="L61" s="9"/>
      <c r="M61" s="11"/>
    </row>
    <row r="62" spans="1:13" ht="18">
      <c r="A62" s="104"/>
      <c r="B62" s="93"/>
      <c r="C62" s="93"/>
      <c r="D62" s="93"/>
      <c r="E62" s="93"/>
      <c r="F62" s="93"/>
      <c r="G62" s="93"/>
      <c r="H62" s="93"/>
      <c r="I62" s="105"/>
      <c r="J62" s="9"/>
      <c r="K62" s="9"/>
      <c r="L62" s="9"/>
      <c r="M62" s="11"/>
    </row>
    <row r="63" spans="1:13" ht="18">
      <c r="A63" s="104"/>
      <c r="B63" s="93"/>
      <c r="C63" s="93"/>
      <c r="D63" s="93"/>
      <c r="E63" s="93"/>
      <c r="F63" s="93"/>
      <c r="G63" s="93"/>
      <c r="H63" s="93"/>
      <c r="I63" s="105"/>
      <c r="J63" s="9"/>
      <c r="K63" s="9"/>
      <c r="L63" s="9"/>
      <c r="M63" s="11"/>
    </row>
    <row r="64" spans="1:13" ht="18">
      <c r="A64" s="104"/>
      <c r="B64" s="93"/>
      <c r="C64" s="93"/>
      <c r="D64" s="93"/>
      <c r="E64" s="93"/>
      <c r="F64" s="93"/>
      <c r="G64" s="93"/>
      <c r="H64" s="93"/>
      <c r="I64" s="105"/>
      <c r="J64" s="9"/>
      <c r="K64" s="9"/>
      <c r="L64" s="9"/>
      <c r="M64" s="11"/>
    </row>
    <row r="65" spans="1:13" ht="18">
      <c r="A65" s="104"/>
      <c r="B65" s="93"/>
      <c r="C65" s="93"/>
      <c r="D65" s="93"/>
      <c r="E65" s="93"/>
      <c r="F65" s="93"/>
      <c r="G65" s="93"/>
      <c r="H65" s="93"/>
      <c r="I65" s="105"/>
      <c r="J65" s="9"/>
      <c r="K65" s="9"/>
      <c r="L65" s="9"/>
      <c r="M65" s="11"/>
    </row>
    <row r="66" spans="1:13" ht="18">
      <c r="A66" s="104"/>
      <c r="B66" s="93"/>
      <c r="C66" s="93"/>
      <c r="D66" s="93"/>
      <c r="E66" s="93"/>
      <c r="F66" s="93"/>
      <c r="G66" s="93"/>
      <c r="H66" s="93"/>
      <c r="I66" s="105"/>
      <c r="J66" s="9"/>
      <c r="K66" s="9"/>
      <c r="L66" s="9"/>
      <c r="M66" s="11"/>
    </row>
    <row r="67" spans="1:13" ht="18">
      <c r="A67" s="104"/>
      <c r="B67" s="93"/>
      <c r="C67" s="93"/>
      <c r="D67" s="93"/>
      <c r="E67" s="93"/>
      <c r="F67" s="93"/>
      <c r="G67" s="93"/>
      <c r="H67" s="93"/>
      <c r="I67" s="105"/>
      <c r="J67" s="9"/>
      <c r="K67" s="9"/>
      <c r="L67" s="9"/>
      <c r="M67" s="11"/>
    </row>
    <row r="68" spans="1:13" ht="18">
      <c r="A68" s="104"/>
      <c r="B68" s="93"/>
      <c r="C68" s="93"/>
      <c r="D68" s="93"/>
      <c r="E68" s="93"/>
      <c r="F68" s="93"/>
      <c r="G68" s="93"/>
      <c r="H68" s="93"/>
      <c r="I68" s="105"/>
      <c r="J68" s="9"/>
      <c r="K68" s="9"/>
      <c r="L68" s="9"/>
      <c r="M68" s="11"/>
    </row>
    <row r="69" spans="1:13" ht="18">
      <c r="A69" s="104"/>
      <c r="B69" s="93"/>
      <c r="C69" s="93"/>
      <c r="D69" s="93"/>
      <c r="E69" s="93"/>
      <c r="F69" s="93"/>
      <c r="G69" s="93"/>
      <c r="H69" s="93"/>
      <c r="I69" s="105"/>
      <c r="J69" s="9"/>
      <c r="K69" s="9"/>
      <c r="L69" s="9"/>
      <c r="M69" s="11"/>
    </row>
    <row r="70" spans="1:13" ht="18">
      <c r="A70" s="104"/>
      <c r="B70" s="93"/>
      <c r="C70" s="93"/>
      <c r="D70" s="93"/>
      <c r="E70" s="93"/>
      <c r="F70" s="93"/>
      <c r="G70" s="93"/>
      <c r="H70" s="93"/>
      <c r="I70" s="105"/>
      <c r="J70" s="9"/>
      <c r="K70" s="9"/>
      <c r="L70" s="9"/>
      <c r="M70" s="11"/>
    </row>
    <row r="71" spans="1:13" ht="18">
      <c r="A71" s="104"/>
      <c r="B71" s="93"/>
      <c r="C71" s="93"/>
      <c r="D71" s="93"/>
      <c r="E71" s="93"/>
      <c r="F71" s="93"/>
      <c r="G71" s="93"/>
      <c r="H71" s="93"/>
      <c r="I71" s="105"/>
      <c r="J71" s="9"/>
      <c r="K71" s="9"/>
      <c r="L71" s="9"/>
      <c r="M71" s="11"/>
    </row>
    <row r="72" spans="1:13" ht="18">
      <c r="A72" s="104"/>
      <c r="B72" s="93"/>
      <c r="C72" s="93"/>
      <c r="D72" s="93"/>
      <c r="E72" s="93"/>
      <c r="F72" s="93"/>
      <c r="G72" s="93"/>
      <c r="H72" s="93"/>
      <c r="I72" s="105"/>
      <c r="J72" s="9"/>
      <c r="K72" s="9"/>
      <c r="L72" s="9"/>
      <c r="M72" s="11"/>
    </row>
    <row r="73" spans="1:13" ht="18">
      <c r="A73" s="104"/>
      <c r="B73" s="93"/>
      <c r="C73" s="93"/>
      <c r="D73" s="93"/>
      <c r="E73" s="93"/>
      <c r="F73" s="93"/>
      <c r="G73" s="93"/>
      <c r="H73" s="93"/>
      <c r="I73" s="105"/>
      <c r="J73" s="9"/>
      <c r="K73" s="9"/>
      <c r="L73" s="9"/>
      <c r="M73" s="11"/>
    </row>
    <row r="74" spans="1:13" ht="18">
      <c r="A74" s="104"/>
      <c r="B74" s="93"/>
      <c r="C74" s="93"/>
      <c r="D74" s="93"/>
      <c r="E74" s="93"/>
      <c r="F74" s="93"/>
      <c r="G74" s="93"/>
      <c r="H74" s="93"/>
      <c r="I74" s="105"/>
      <c r="J74" s="9"/>
      <c r="K74" s="9"/>
      <c r="L74" s="9"/>
      <c r="M74" s="11"/>
    </row>
    <row r="75" spans="1:13" ht="18">
      <c r="A75" s="104"/>
      <c r="B75" s="93"/>
      <c r="C75" s="93"/>
      <c r="D75" s="93"/>
      <c r="E75" s="93"/>
      <c r="F75" s="93"/>
      <c r="G75" s="93"/>
      <c r="H75" s="93"/>
      <c r="I75" s="105"/>
      <c r="J75" s="9"/>
      <c r="K75" s="9"/>
      <c r="L75" s="9"/>
      <c r="M75" s="11"/>
    </row>
    <row r="76" spans="1:13" ht="18">
      <c r="A76" s="104"/>
      <c r="B76" s="93"/>
      <c r="C76" s="93"/>
      <c r="D76" s="93"/>
      <c r="E76" s="93"/>
      <c r="F76" s="93"/>
      <c r="G76" s="93"/>
      <c r="H76" s="93"/>
      <c r="I76" s="105"/>
      <c r="J76" s="9"/>
      <c r="K76" s="9"/>
      <c r="L76" s="9"/>
      <c r="M76" s="11"/>
    </row>
    <row r="77" spans="1:13" ht="18">
      <c r="A77" s="104"/>
      <c r="B77" s="93"/>
      <c r="C77" s="93"/>
      <c r="D77" s="93"/>
      <c r="E77" s="93"/>
      <c r="F77" s="93"/>
      <c r="G77" s="93"/>
      <c r="H77" s="93"/>
      <c r="I77" s="105"/>
      <c r="J77" s="9"/>
      <c r="K77" s="9"/>
      <c r="L77" s="9"/>
      <c r="M77" s="11"/>
    </row>
    <row r="78" spans="1:13" ht="18">
      <c r="A78" s="104"/>
      <c r="B78" s="93"/>
      <c r="C78" s="93"/>
      <c r="D78" s="93"/>
      <c r="E78" s="93"/>
      <c r="F78" s="93"/>
      <c r="G78" s="93"/>
      <c r="H78" s="93"/>
      <c r="I78" s="105"/>
      <c r="J78" s="9"/>
      <c r="K78" s="9"/>
      <c r="L78" s="9"/>
      <c r="M78" s="11"/>
    </row>
    <row r="79" spans="1:13" ht="18">
      <c r="A79" s="104"/>
      <c r="B79" s="93"/>
      <c r="C79" s="93"/>
      <c r="D79" s="93"/>
      <c r="E79" s="93"/>
      <c r="F79" s="93"/>
      <c r="G79" s="93"/>
      <c r="H79" s="93"/>
      <c r="I79" s="105"/>
      <c r="J79" s="9"/>
      <c r="K79" s="9"/>
      <c r="L79" s="9"/>
      <c r="M79" s="11"/>
    </row>
    <row r="80" spans="1:13" ht="18">
      <c r="A80" s="104"/>
      <c r="B80" s="93"/>
      <c r="C80" s="93"/>
      <c r="D80" s="93"/>
      <c r="E80" s="93"/>
      <c r="F80" s="93"/>
      <c r="G80" s="93"/>
      <c r="H80" s="93"/>
      <c r="I80" s="105"/>
      <c r="J80" s="9"/>
      <c r="K80" s="9"/>
      <c r="L80" s="9"/>
      <c r="M80" s="11"/>
    </row>
    <row r="81" spans="1:14" ht="18">
      <c r="A81" s="106"/>
      <c r="B81" s="93"/>
      <c r="C81" s="93"/>
      <c r="D81" s="93"/>
      <c r="E81" s="93"/>
      <c r="F81" s="93"/>
      <c r="G81" s="93"/>
      <c r="H81" s="93"/>
      <c r="I81" s="105"/>
      <c r="J81" s="9"/>
      <c r="K81" s="9"/>
      <c r="L81" s="9"/>
      <c r="M81" s="11"/>
    </row>
    <row r="82" spans="1:14" ht="18.75" thickBot="1">
      <c r="A82" s="107"/>
      <c r="B82" s="99"/>
      <c r="C82" s="99"/>
      <c r="D82" s="99"/>
      <c r="E82" s="99"/>
      <c r="F82" s="99"/>
      <c r="G82" s="99"/>
      <c r="H82" s="99"/>
      <c r="I82" s="100"/>
      <c r="J82" s="9"/>
      <c r="K82" s="9"/>
      <c r="L82" s="9"/>
      <c r="M82" s="11"/>
      <c r="N82" s="108"/>
    </row>
    <row r="83" spans="1:14" ht="18">
      <c r="A83" s="576"/>
      <c r="B83" s="576"/>
      <c r="C83" s="576"/>
      <c r="D83" s="576"/>
      <c r="E83" s="576"/>
      <c r="F83" s="576"/>
      <c r="G83" s="576"/>
      <c r="H83" s="576"/>
      <c r="I83" s="576"/>
      <c r="J83" s="576"/>
      <c r="K83" s="576"/>
      <c r="L83" s="576"/>
      <c r="M83" s="11"/>
      <c r="N83" s="108"/>
    </row>
    <row r="84" spans="1:14" ht="18">
      <c r="A84" s="576"/>
      <c r="B84" s="576"/>
      <c r="C84" s="576"/>
      <c r="D84" s="576"/>
      <c r="E84" s="576"/>
      <c r="F84" s="576"/>
      <c r="G84" s="576"/>
      <c r="H84" s="576"/>
      <c r="I84" s="576"/>
      <c r="J84" s="576"/>
      <c r="K84" s="576"/>
      <c r="L84" s="576"/>
      <c r="M84" s="11"/>
      <c r="N84" s="108"/>
    </row>
    <row r="85" spans="1:14" ht="18">
      <c r="A85" s="576"/>
      <c r="B85" s="576"/>
      <c r="C85" s="576"/>
      <c r="D85" s="576"/>
      <c r="E85" s="576"/>
      <c r="F85" s="576"/>
      <c r="G85" s="576"/>
      <c r="H85" s="576"/>
      <c r="I85" s="576"/>
      <c r="J85" s="576"/>
      <c r="K85" s="576"/>
      <c r="L85" s="576"/>
      <c r="M85" s="11"/>
      <c r="N85" s="108"/>
    </row>
    <row r="86" spans="1:14" ht="18">
      <c r="A86" s="576"/>
      <c r="B86" s="576"/>
      <c r="C86" s="576"/>
      <c r="D86" s="576"/>
      <c r="E86" s="576"/>
      <c r="F86" s="576"/>
      <c r="G86" s="576"/>
      <c r="H86" s="576"/>
      <c r="I86" s="576"/>
      <c r="J86" s="576"/>
      <c r="K86" s="576"/>
      <c r="L86" s="576"/>
      <c r="M86" s="11"/>
      <c r="N86" s="108"/>
    </row>
    <row r="87" spans="1:14" ht="18.75">
      <c r="A87" s="579" t="s">
        <v>13</v>
      </c>
      <c r="B87" s="579"/>
      <c r="C87" s="537"/>
      <c r="D87" s="537"/>
      <c r="E87" s="537"/>
      <c r="F87" s="537"/>
      <c r="G87" s="537"/>
      <c r="H87" s="537"/>
      <c r="I87" s="537"/>
      <c r="J87" s="579" t="s">
        <v>364</v>
      </c>
      <c r="K87" s="579"/>
      <c r="L87" s="579"/>
      <c r="M87" s="11"/>
      <c r="N87" s="108"/>
    </row>
    <row r="88" spans="1:14" ht="18">
      <c r="B88" s="108"/>
      <c r="C88" s="108"/>
      <c r="D88" s="108"/>
      <c r="E88" s="108"/>
      <c r="F88" s="108"/>
      <c r="G88" s="108"/>
      <c r="H88" s="108"/>
      <c r="I88" s="108"/>
      <c r="J88" s="108"/>
      <c r="K88" s="108"/>
      <c r="L88" s="108"/>
      <c r="M88" s="11"/>
      <c r="N88" s="108"/>
    </row>
    <row r="89" spans="1:14" ht="18">
      <c r="B89" s="108"/>
      <c r="C89" s="108"/>
      <c r="D89" s="108"/>
      <c r="E89" s="108"/>
      <c r="F89" s="108"/>
      <c r="G89" s="108"/>
      <c r="H89" s="108"/>
      <c r="I89" s="108"/>
      <c r="J89" s="108"/>
      <c r="K89" s="108"/>
      <c r="L89" s="108"/>
      <c r="M89" s="11"/>
      <c r="N89" s="108"/>
    </row>
    <row r="90" spans="1:14" ht="18">
      <c r="B90" s="108"/>
      <c r="C90" s="108"/>
      <c r="D90" s="108"/>
      <c r="E90" s="108"/>
      <c r="F90" s="108"/>
      <c r="G90" s="108"/>
      <c r="H90" s="108"/>
      <c r="I90" s="108"/>
      <c r="J90" s="108"/>
      <c r="K90" s="108"/>
      <c r="L90" s="108"/>
      <c r="M90" s="11"/>
      <c r="N90" s="108"/>
    </row>
    <row r="91" spans="1:14" ht="18">
      <c r="B91" s="108"/>
      <c r="C91" s="108"/>
      <c r="D91" s="108"/>
      <c r="E91" s="108"/>
      <c r="F91" s="108"/>
      <c r="G91" s="108"/>
      <c r="H91" s="108"/>
      <c r="I91" s="108"/>
      <c r="J91" s="108"/>
      <c r="K91" s="108"/>
      <c r="L91" s="108"/>
      <c r="M91" s="11"/>
      <c r="N91" s="108"/>
    </row>
    <row r="92" spans="1:14" ht="18">
      <c r="B92" s="108"/>
      <c r="C92" s="108"/>
      <c r="D92" s="108"/>
      <c r="E92" s="108"/>
      <c r="F92" s="108"/>
      <c r="G92" s="108"/>
      <c r="H92" s="108"/>
      <c r="I92" s="108"/>
      <c r="J92" s="108"/>
      <c r="K92" s="108"/>
      <c r="L92" s="108"/>
      <c r="M92" s="11"/>
      <c r="N92" s="108"/>
    </row>
    <row r="93" spans="1:14" ht="18">
      <c r="B93" s="108"/>
      <c r="C93" s="108"/>
      <c r="D93" s="108"/>
      <c r="E93" s="108"/>
      <c r="F93" s="108"/>
      <c r="G93" s="108"/>
      <c r="H93" s="108"/>
      <c r="I93" s="108"/>
      <c r="J93" s="108"/>
      <c r="K93" s="108"/>
      <c r="L93" s="108"/>
      <c r="M93" s="11"/>
      <c r="N93" s="108"/>
    </row>
    <row r="94" spans="1:14" ht="18">
      <c r="B94" s="108"/>
      <c r="C94" s="108"/>
      <c r="D94" s="108"/>
      <c r="E94" s="108"/>
      <c r="F94" s="108"/>
      <c r="G94" s="108"/>
      <c r="H94" s="108"/>
      <c r="I94" s="108"/>
      <c r="J94" s="108"/>
      <c r="K94" s="108"/>
      <c r="L94" s="108"/>
      <c r="M94" s="11"/>
      <c r="N94" s="108"/>
    </row>
    <row r="95" spans="1:14" ht="18">
      <c r="B95" s="108"/>
      <c r="C95" s="108"/>
      <c r="D95" s="108"/>
      <c r="E95" s="108"/>
      <c r="F95" s="108"/>
      <c r="G95" s="108"/>
      <c r="H95" s="108"/>
      <c r="I95" s="108"/>
      <c r="J95" s="108"/>
      <c r="K95" s="108"/>
      <c r="L95" s="108"/>
      <c r="M95" s="11"/>
      <c r="N95" s="108"/>
    </row>
    <row r="96" spans="1:14" ht="18">
      <c r="B96" s="108"/>
      <c r="C96" s="108"/>
      <c r="D96" s="108"/>
      <c r="E96" s="108"/>
      <c r="F96" s="108"/>
      <c r="G96" s="108"/>
      <c r="H96" s="108"/>
      <c r="I96" s="108"/>
      <c r="J96" s="108"/>
      <c r="K96" s="108"/>
      <c r="L96" s="108"/>
      <c r="M96" s="11"/>
      <c r="N96" s="108"/>
    </row>
    <row r="97" spans="2:14" ht="18">
      <c r="B97" s="108"/>
      <c r="C97" s="108"/>
      <c r="D97" s="108"/>
      <c r="E97" s="108"/>
      <c r="F97" s="108"/>
      <c r="G97" s="108"/>
      <c r="H97" s="108"/>
      <c r="I97" s="108"/>
      <c r="J97" s="108"/>
      <c r="K97" s="108"/>
      <c r="L97" s="108"/>
      <c r="M97" s="11"/>
      <c r="N97" s="108"/>
    </row>
    <row r="98" spans="2:14" ht="18">
      <c r="B98" s="108"/>
      <c r="C98" s="108"/>
      <c r="D98" s="108"/>
      <c r="E98" s="108"/>
      <c r="F98" s="108"/>
      <c r="G98" s="108"/>
      <c r="H98" s="108"/>
      <c r="I98" s="108"/>
      <c r="J98" s="108"/>
      <c r="K98" s="108"/>
      <c r="L98" s="108"/>
      <c r="M98" s="11"/>
      <c r="N98" s="108"/>
    </row>
    <row r="99" spans="2:14" ht="18">
      <c r="B99" s="108"/>
      <c r="C99" s="108"/>
      <c r="D99" s="108"/>
      <c r="E99" s="108"/>
      <c r="F99" s="108"/>
      <c r="G99" s="108"/>
      <c r="H99" s="108"/>
      <c r="I99" s="108"/>
      <c r="J99" s="108"/>
      <c r="K99" s="108"/>
      <c r="L99" s="108"/>
      <c r="M99" s="11"/>
      <c r="N99" s="108"/>
    </row>
    <row r="100" spans="2:14" ht="18">
      <c r="B100" s="108"/>
      <c r="C100" s="108"/>
      <c r="D100" s="108"/>
      <c r="E100" s="108"/>
      <c r="F100" s="108"/>
      <c r="G100" s="108"/>
      <c r="H100" s="108"/>
      <c r="I100" s="108"/>
      <c r="J100" s="108"/>
      <c r="K100" s="108"/>
      <c r="L100" s="108"/>
      <c r="M100" s="11"/>
      <c r="N100" s="108"/>
    </row>
    <row r="101" spans="2:14" ht="18">
      <c r="B101" s="108"/>
      <c r="C101" s="108"/>
      <c r="D101" s="108"/>
      <c r="E101" s="108"/>
      <c r="F101" s="108"/>
      <c r="G101" s="108"/>
      <c r="H101" s="108"/>
      <c r="I101" s="108"/>
      <c r="J101" s="108"/>
      <c r="K101" s="108"/>
      <c r="L101" s="108"/>
      <c r="M101" s="11"/>
      <c r="N101" s="108"/>
    </row>
    <row r="102" spans="2:14" ht="18">
      <c r="B102" s="108"/>
      <c r="C102" s="108"/>
      <c r="D102" s="108"/>
      <c r="E102" s="108"/>
      <c r="F102" s="108"/>
      <c r="G102" s="108"/>
      <c r="H102" s="108"/>
      <c r="I102" s="108"/>
      <c r="J102" s="108"/>
      <c r="K102" s="108"/>
      <c r="L102" s="108"/>
      <c r="M102" s="11"/>
      <c r="N102" s="108"/>
    </row>
    <row r="103" spans="2:14" ht="18">
      <c r="B103" s="108"/>
      <c r="C103" s="108"/>
      <c r="D103" s="108"/>
      <c r="E103" s="108"/>
      <c r="F103" s="108"/>
      <c r="G103" s="108"/>
      <c r="H103" s="108"/>
      <c r="I103" s="108"/>
      <c r="J103" s="108"/>
      <c r="K103" s="108"/>
      <c r="L103" s="108"/>
      <c r="M103" s="11"/>
      <c r="N103" s="108"/>
    </row>
    <row r="104" spans="2:14" ht="18">
      <c r="B104" s="108"/>
      <c r="C104" s="108"/>
      <c r="D104" s="108"/>
      <c r="E104" s="108"/>
      <c r="F104" s="108"/>
      <c r="G104" s="108"/>
      <c r="H104" s="108"/>
      <c r="I104" s="108"/>
      <c r="J104" s="108"/>
      <c r="K104" s="108"/>
      <c r="L104" s="108"/>
      <c r="M104" s="11"/>
      <c r="N104" s="108"/>
    </row>
    <row r="105" spans="2:14" ht="18">
      <c r="B105" s="108"/>
      <c r="C105" s="108"/>
      <c r="D105" s="108"/>
      <c r="E105" s="108"/>
      <c r="F105" s="108"/>
      <c r="G105" s="108"/>
      <c r="H105" s="108"/>
      <c r="I105" s="108"/>
      <c r="J105" s="108"/>
      <c r="K105" s="108"/>
      <c r="L105" s="108"/>
      <c r="M105" s="11"/>
      <c r="N105" s="108"/>
    </row>
    <row r="106" spans="2:14" ht="18">
      <c r="B106" s="108"/>
      <c r="C106" s="108"/>
      <c r="D106" s="108"/>
      <c r="E106" s="108"/>
      <c r="F106" s="108"/>
      <c r="G106" s="108"/>
      <c r="H106" s="108"/>
      <c r="I106" s="108"/>
      <c r="J106" s="108"/>
      <c r="K106" s="108"/>
      <c r="L106" s="108"/>
      <c r="M106" s="11"/>
      <c r="N106" s="108"/>
    </row>
    <row r="107" spans="2:14" ht="18">
      <c r="B107" s="108"/>
      <c r="C107" s="108"/>
      <c r="D107" s="108"/>
      <c r="E107" s="108"/>
      <c r="F107" s="108"/>
      <c r="G107" s="108"/>
      <c r="H107" s="108"/>
      <c r="I107" s="108"/>
      <c r="J107" s="108"/>
      <c r="K107" s="108"/>
      <c r="L107" s="108"/>
      <c r="M107" s="11"/>
      <c r="N107" s="108"/>
    </row>
    <row r="108" spans="2:14" ht="18">
      <c r="B108" s="108"/>
      <c r="C108" s="108"/>
      <c r="D108" s="108"/>
      <c r="E108" s="108"/>
      <c r="F108" s="108"/>
      <c r="G108" s="108"/>
      <c r="H108" s="108"/>
      <c r="I108" s="108"/>
      <c r="J108" s="108"/>
      <c r="K108" s="108"/>
      <c r="L108" s="108"/>
      <c r="M108" s="11"/>
      <c r="N108" s="108"/>
    </row>
    <row r="109" spans="2:14" ht="18">
      <c r="B109" s="108"/>
      <c r="C109" s="108"/>
      <c r="D109" s="108"/>
      <c r="E109" s="108"/>
      <c r="F109" s="108"/>
      <c r="G109" s="108"/>
      <c r="H109" s="108"/>
      <c r="I109" s="108"/>
      <c r="J109" s="108"/>
      <c r="K109" s="108"/>
      <c r="L109" s="108"/>
      <c r="M109" s="11"/>
      <c r="N109" s="108"/>
    </row>
    <row r="110" spans="2:14" ht="18">
      <c r="B110" s="108"/>
      <c r="C110" s="108"/>
      <c r="D110" s="108"/>
      <c r="E110" s="108"/>
      <c r="F110" s="108"/>
      <c r="G110" s="108"/>
      <c r="H110" s="108"/>
      <c r="I110" s="108"/>
      <c r="J110" s="108"/>
      <c r="K110" s="108"/>
      <c r="L110" s="108"/>
      <c r="M110" s="11"/>
      <c r="N110" s="108"/>
    </row>
    <row r="111" spans="2:14" ht="18">
      <c r="B111" s="108"/>
      <c r="C111" s="108"/>
      <c r="D111" s="108"/>
      <c r="E111" s="108"/>
      <c r="F111" s="108"/>
      <c r="G111" s="108"/>
      <c r="H111" s="108"/>
      <c r="I111" s="108"/>
      <c r="J111" s="108"/>
      <c r="K111" s="108"/>
      <c r="L111" s="108"/>
      <c r="M111" s="11"/>
      <c r="N111" s="108"/>
    </row>
    <row r="112" spans="2:14" ht="18">
      <c r="B112" s="108"/>
      <c r="C112" s="108"/>
      <c r="D112" s="108"/>
      <c r="E112" s="108"/>
      <c r="F112" s="108"/>
      <c r="G112" s="108"/>
      <c r="H112" s="108"/>
      <c r="I112" s="108"/>
      <c r="J112" s="108"/>
      <c r="K112" s="108"/>
      <c r="L112" s="108"/>
      <c r="M112" s="11"/>
      <c r="N112" s="108"/>
    </row>
    <row r="113" spans="2:14" ht="18">
      <c r="B113" s="108"/>
      <c r="C113" s="108"/>
      <c r="D113" s="108"/>
      <c r="E113" s="108"/>
      <c r="F113" s="108"/>
      <c r="G113" s="108"/>
      <c r="H113" s="108"/>
      <c r="I113" s="108"/>
      <c r="J113" s="108"/>
      <c r="K113" s="108"/>
      <c r="L113" s="108"/>
      <c r="M113" s="11"/>
      <c r="N113" s="108"/>
    </row>
    <row r="114" spans="2:14" ht="18">
      <c r="B114" s="108"/>
      <c r="C114" s="108"/>
      <c r="D114" s="108"/>
      <c r="E114" s="108"/>
      <c r="F114" s="108"/>
      <c r="G114" s="108"/>
      <c r="H114" s="108"/>
      <c r="I114" s="108"/>
      <c r="J114" s="108"/>
      <c r="K114" s="108"/>
      <c r="L114" s="108"/>
      <c r="M114" s="11"/>
      <c r="N114" s="108"/>
    </row>
    <row r="115" spans="2:14" ht="18">
      <c r="B115" s="108"/>
      <c r="C115" s="108"/>
      <c r="D115" s="108"/>
      <c r="E115" s="108"/>
      <c r="F115" s="108"/>
      <c r="G115" s="108"/>
      <c r="H115" s="108"/>
      <c r="I115" s="108"/>
      <c r="J115" s="108"/>
      <c r="K115" s="108"/>
      <c r="L115" s="108"/>
      <c r="M115" s="11"/>
      <c r="N115" s="108"/>
    </row>
    <row r="116" spans="2:14" ht="18">
      <c r="B116" s="108"/>
      <c r="C116" s="108"/>
      <c r="D116" s="108"/>
      <c r="E116" s="108"/>
      <c r="F116" s="108"/>
      <c r="G116" s="108"/>
      <c r="H116" s="108"/>
      <c r="I116" s="108"/>
      <c r="J116" s="108"/>
      <c r="K116" s="108"/>
      <c r="L116" s="108"/>
      <c r="M116" s="11"/>
      <c r="N116" s="108"/>
    </row>
    <row r="117" spans="2:14" ht="18">
      <c r="B117" s="108"/>
      <c r="C117" s="108"/>
      <c r="D117" s="108"/>
      <c r="E117" s="108"/>
      <c r="F117" s="108"/>
      <c r="G117" s="108"/>
      <c r="H117" s="108"/>
      <c r="I117" s="108"/>
      <c r="J117" s="108"/>
      <c r="K117" s="108"/>
      <c r="L117" s="108"/>
      <c r="M117" s="11"/>
      <c r="N117" s="108"/>
    </row>
    <row r="118" spans="2:14" ht="18">
      <c r="B118" s="108"/>
      <c r="C118" s="108"/>
      <c r="D118" s="108"/>
      <c r="E118" s="108"/>
      <c r="F118" s="108"/>
      <c r="G118" s="108"/>
      <c r="H118" s="108"/>
      <c r="I118" s="108"/>
      <c r="J118" s="108"/>
      <c r="K118" s="108"/>
      <c r="L118" s="108"/>
      <c r="M118" s="11"/>
      <c r="N118" s="108"/>
    </row>
    <row r="119" spans="2:14" ht="18">
      <c r="B119" s="108"/>
      <c r="C119" s="108"/>
      <c r="D119" s="108"/>
      <c r="E119" s="108"/>
      <c r="F119" s="108"/>
      <c r="G119" s="108"/>
      <c r="H119" s="108"/>
      <c r="I119" s="108"/>
      <c r="J119" s="108"/>
      <c r="K119" s="108"/>
      <c r="L119" s="108"/>
      <c r="M119" s="11"/>
      <c r="N119" s="108"/>
    </row>
    <row r="120" spans="2:14">
      <c r="B120" s="108"/>
      <c r="C120" s="108"/>
      <c r="D120" s="108"/>
      <c r="E120" s="108"/>
      <c r="F120" s="108"/>
      <c r="G120" s="108"/>
      <c r="H120" s="108"/>
      <c r="I120" s="108"/>
      <c r="J120" s="108"/>
      <c r="K120" s="108"/>
      <c r="L120" s="108"/>
      <c r="M120" s="108"/>
      <c r="N120" s="108"/>
    </row>
    <row r="121" spans="2:14">
      <c r="B121" s="108"/>
      <c r="C121" s="108"/>
      <c r="D121" s="108"/>
      <c r="E121" s="108"/>
      <c r="F121" s="108"/>
      <c r="G121" s="108"/>
      <c r="H121" s="108"/>
      <c r="I121" s="108"/>
      <c r="J121" s="108"/>
      <c r="K121" s="108"/>
      <c r="L121" s="108"/>
      <c r="M121" s="108"/>
      <c r="N121" s="108"/>
    </row>
    <row r="122" spans="2:14">
      <c r="B122" s="108"/>
      <c r="C122" s="108"/>
      <c r="D122" s="108"/>
      <c r="E122" s="108"/>
      <c r="F122" s="108"/>
      <c r="G122" s="108"/>
      <c r="H122" s="108"/>
      <c r="I122" s="108"/>
      <c r="J122" s="108"/>
      <c r="K122" s="108"/>
      <c r="L122" s="108"/>
      <c r="M122" s="108"/>
      <c r="N122" s="108"/>
    </row>
    <row r="123" spans="2:14">
      <c r="B123" s="108"/>
      <c r="C123" s="108"/>
      <c r="D123" s="108"/>
      <c r="E123" s="108"/>
      <c r="F123" s="108"/>
      <c r="G123" s="108"/>
      <c r="H123" s="108"/>
      <c r="I123" s="108"/>
      <c r="J123" s="108"/>
      <c r="K123" s="108"/>
      <c r="L123" s="108"/>
      <c r="M123" s="108"/>
      <c r="N123" s="108"/>
    </row>
    <row r="124" spans="2:14">
      <c r="B124" s="108"/>
      <c r="C124" s="108"/>
      <c r="D124" s="108"/>
      <c r="E124" s="108"/>
      <c r="F124" s="108"/>
      <c r="G124" s="108"/>
      <c r="H124" s="108"/>
      <c r="I124" s="108"/>
      <c r="J124" s="108"/>
      <c r="K124" s="108"/>
      <c r="L124" s="108"/>
      <c r="M124" s="108"/>
      <c r="N124" s="108"/>
    </row>
    <row r="125" spans="2:14">
      <c r="B125" s="108"/>
      <c r="C125" s="108"/>
      <c r="D125" s="108"/>
      <c r="E125" s="108"/>
      <c r="F125" s="108"/>
      <c r="G125" s="108"/>
      <c r="H125" s="108"/>
      <c r="I125" s="108"/>
      <c r="J125" s="108"/>
      <c r="K125" s="108"/>
      <c r="L125" s="108"/>
      <c r="M125" s="108"/>
      <c r="N125" s="108"/>
    </row>
    <row r="126" spans="2:14">
      <c r="B126" s="108"/>
      <c r="C126" s="108"/>
      <c r="D126" s="108"/>
      <c r="E126" s="108"/>
      <c r="F126" s="108"/>
      <c r="G126" s="108"/>
      <c r="H126" s="108"/>
      <c r="I126" s="108"/>
      <c r="J126" s="108"/>
      <c r="K126" s="108"/>
      <c r="L126" s="108"/>
      <c r="M126" s="108"/>
      <c r="N126" s="108"/>
    </row>
    <row r="127" spans="2:14">
      <c r="B127" s="108"/>
      <c r="C127" s="108"/>
      <c r="D127" s="108"/>
      <c r="E127" s="108"/>
      <c r="F127" s="108"/>
      <c r="G127" s="108"/>
      <c r="H127" s="108"/>
      <c r="I127" s="108"/>
      <c r="J127" s="108"/>
      <c r="K127" s="108"/>
      <c r="L127" s="108"/>
      <c r="M127" s="108"/>
      <c r="N127" s="108"/>
    </row>
    <row r="128" spans="2:14">
      <c r="B128" s="108"/>
      <c r="C128" s="108"/>
      <c r="D128" s="108"/>
      <c r="E128" s="108"/>
      <c r="F128" s="108"/>
      <c r="G128" s="108"/>
      <c r="H128" s="108"/>
      <c r="I128" s="108"/>
      <c r="J128" s="108"/>
      <c r="K128" s="108"/>
      <c r="L128" s="108"/>
      <c r="M128" s="108"/>
      <c r="N128" s="108"/>
    </row>
    <row r="129" spans="2:14">
      <c r="B129" s="108"/>
      <c r="C129" s="108"/>
      <c r="D129" s="108"/>
      <c r="E129" s="108"/>
      <c r="F129" s="108"/>
      <c r="G129" s="108"/>
      <c r="H129" s="108"/>
      <c r="I129" s="108"/>
      <c r="J129" s="108"/>
      <c r="K129" s="108"/>
      <c r="L129" s="108"/>
      <c r="M129" s="108"/>
      <c r="N129" s="108"/>
    </row>
    <row r="130" spans="2:14">
      <c r="B130" s="108"/>
      <c r="C130" s="108"/>
      <c r="D130" s="108"/>
      <c r="E130" s="108"/>
      <c r="F130" s="108"/>
      <c r="G130" s="108"/>
      <c r="H130" s="108"/>
      <c r="I130" s="108"/>
      <c r="J130" s="108"/>
      <c r="K130" s="108"/>
      <c r="L130" s="108"/>
      <c r="M130" s="108"/>
      <c r="N130" s="108"/>
    </row>
    <row r="131" spans="2:14">
      <c r="B131" s="108"/>
      <c r="C131" s="108"/>
      <c r="D131" s="108"/>
      <c r="E131" s="108"/>
      <c r="F131" s="108"/>
      <c r="G131" s="108"/>
      <c r="H131" s="108"/>
      <c r="I131" s="108"/>
      <c r="J131" s="108"/>
      <c r="K131" s="108"/>
      <c r="L131" s="108"/>
      <c r="M131" s="108"/>
      <c r="N131" s="108"/>
    </row>
    <row r="132" spans="2:14">
      <c r="B132" s="108"/>
      <c r="C132" s="108"/>
      <c r="D132" s="108"/>
      <c r="E132" s="108"/>
      <c r="F132" s="108"/>
      <c r="G132" s="108"/>
      <c r="H132" s="108"/>
      <c r="I132" s="108"/>
      <c r="J132" s="108"/>
      <c r="K132" s="108"/>
      <c r="L132" s="108"/>
      <c r="M132" s="108"/>
      <c r="N132" s="108"/>
    </row>
    <row r="133" spans="2:14">
      <c r="B133" s="108"/>
      <c r="C133" s="108"/>
      <c r="D133" s="108"/>
      <c r="E133" s="108"/>
      <c r="F133" s="108"/>
      <c r="G133" s="108"/>
      <c r="H133" s="108"/>
      <c r="I133" s="108"/>
      <c r="J133" s="108"/>
      <c r="K133" s="108"/>
      <c r="L133" s="108"/>
      <c r="M133" s="108"/>
      <c r="N133" s="108"/>
    </row>
    <row r="134" spans="2:14">
      <c r="B134" s="108"/>
      <c r="C134" s="108"/>
      <c r="D134" s="108"/>
      <c r="E134" s="108"/>
      <c r="F134" s="108"/>
      <c r="G134" s="108"/>
      <c r="H134" s="108"/>
      <c r="I134" s="108"/>
      <c r="J134" s="108"/>
      <c r="K134" s="108"/>
      <c r="L134" s="108"/>
      <c r="M134" s="108"/>
      <c r="N134" s="108"/>
    </row>
    <row r="135" spans="2:14">
      <c r="B135" s="108"/>
      <c r="C135" s="108"/>
      <c r="D135" s="108"/>
      <c r="E135" s="108"/>
      <c r="F135" s="108"/>
      <c r="G135" s="108"/>
      <c r="H135" s="108"/>
      <c r="I135" s="108"/>
      <c r="J135" s="108"/>
      <c r="K135" s="108"/>
      <c r="L135" s="108"/>
      <c r="M135" s="108"/>
      <c r="N135" s="108"/>
    </row>
    <row r="136" spans="2:14">
      <c r="B136" s="108"/>
      <c r="C136" s="108"/>
      <c r="D136" s="108"/>
      <c r="E136" s="108"/>
      <c r="F136" s="108"/>
      <c r="G136" s="108"/>
      <c r="H136" s="108"/>
      <c r="I136" s="108"/>
      <c r="J136" s="108"/>
      <c r="K136" s="108"/>
      <c r="L136" s="108"/>
      <c r="M136" s="108"/>
      <c r="N136" s="108"/>
    </row>
    <row r="137" spans="2:14">
      <c r="B137" s="108"/>
      <c r="C137" s="108"/>
      <c r="D137" s="108"/>
      <c r="E137" s="108"/>
      <c r="F137" s="108"/>
      <c r="G137" s="108"/>
      <c r="H137" s="108"/>
      <c r="I137" s="108"/>
      <c r="J137" s="108"/>
      <c r="K137" s="108"/>
      <c r="L137" s="108"/>
      <c r="M137" s="108"/>
      <c r="N137" s="108"/>
    </row>
    <row r="138" spans="2:14">
      <c r="B138" s="108"/>
      <c r="C138" s="108"/>
      <c r="D138" s="108"/>
      <c r="E138" s="108"/>
      <c r="F138" s="108"/>
      <c r="G138" s="108"/>
      <c r="H138" s="108"/>
      <c r="I138" s="108"/>
      <c r="J138" s="108"/>
      <c r="K138" s="108"/>
      <c r="L138" s="108"/>
      <c r="M138" s="108"/>
      <c r="N138" s="108"/>
    </row>
    <row r="139" spans="2:14">
      <c r="B139" s="108"/>
      <c r="C139" s="108"/>
      <c r="D139" s="108"/>
      <c r="E139" s="108"/>
      <c r="F139" s="108"/>
      <c r="G139" s="108"/>
      <c r="H139" s="108"/>
      <c r="I139" s="108"/>
      <c r="J139" s="108"/>
      <c r="K139" s="108"/>
      <c r="L139" s="108"/>
      <c r="M139" s="108"/>
      <c r="N139" s="108"/>
    </row>
    <row r="140" spans="2:14">
      <c r="B140" s="108"/>
      <c r="C140" s="108"/>
      <c r="D140" s="108"/>
      <c r="E140" s="108"/>
      <c r="F140" s="108"/>
      <c r="G140" s="108"/>
      <c r="H140" s="108"/>
      <c r="I140" s="108"/>
      <c r="J140" s="108"/>
      <c r="K140" s="108"/>
      <c r="L140" s="108"/>
      <c r="M140" s="108"/>
      <c r="N140" s="108"/>
    </row>
    <row r="141" spans="2:14">
      <c r="B141" s="108"/>
      <c r="C141" s="108"/>
      <c r="D141" s="108"/>
      <c r="E141" s="108"/>
      <c r="F141" s="108"/>
      <c r="G141" s="108"/>
      <c r="H141" s="108"/>
      <c r="I141" s="108"/>
      <c r="J141" s="108"/>
      <c r="K141" s="108"/>
      <c r="L141" s="108"/>
      <c r="M141" s="108"/>
      <c r="N141" s="108"/>
    </row>
    <row r="142" spans="2:14">
      <c r="B142" s="108"/>
      <c r="C142" s="108"/>
      <c r="D142" s="108"/>
      <c r="E142" s="108"/>
      <c r="F142" s="108"/>
      <c r="G142" s="108"/>
      <c r="H142" s="108"/>
      <c r="I142" s="108"/>
      <c r="J142" s="108"/>
      <c r="K142" s="108"/>
      <c r="L142" s="108"/>
      <c r="M142" s="108"/>
      <c r="N142" s="108"/>
    </row>
    <row r="143" spans="2:14">
      <c r="B143" s="108"/>
      <c r="C143" s="108"/>
      <c r="D143" s="108"/>
      <c r="E143" s="108"/>
      <c r="F143" s="108"/>
      <c r="G143" s="108"/>
      <c r="H143" s="108"/>
      <c r="I143" s="108"/>
      <c r="J143" s="108"/>
      <c r="K143" s="108"/>
      <c r="L143" s="108"/>
      <c r="M143" s="108"/>
      <c r="N143" s="108"/>
    </row>
    <row r="144" spans="2:14">
      <c r="B144" s="108"/>
      <c r="C144" s="108"/>
      <c r="D144" s="108"/>
      <c r="E144" s="108"/>
      <c r="F144" s="108"/>
      <c r="G144" s="108"/>
      <c r="H144" s="108"/>
      <c r="I144" s="108"/>
      <c r="J144" s="108"/>
      <c r="K144" s="108"/>
      <c r="L144" s="108"/>
      <c r="M144" s="108"/>
      <c r="N144" s="108"/>
    </row>
    <row r="145" spans="2:14">
      <c r="B145" s="108"/>
      <c r="C145" s="108"/>
      <c r="D145" s="108"/>
      <c r="E145" s="108"/>
      <c r="F145" s="108"/>
      <c r="G145" s="108"/>
      <c r="H145" s="108"/>
      <c r="I145" s="108"/>
      <c r="J145" s="108"/>
      <c r="K145" s="108"/>
      <c r="L145" s="108"/>
      <c r="M145" s="108"/>
      <c r="N145" s="108"/>
    </row>
    <row r="146" spans="2:14">
      <c r="B146" s="108"/>
      <c r="C146" s="108"/>
      <c r="D146" s="108"/>
      <c r="E146" s="108"/>
      <c r="F146" s="108"/>
      <c r="G146" s="108"/>
      <c r="H146" s="108"/>
      <c r="I146" s="108"/>
      <c r="J146" s="108"/>
      <c r="K146" s="108"/>
      <c r="L146" s="108"/>
      <c r="M146" s="108"/>
      <c r="N146" s="108"/>
    </row>
    <row r="147" spans="2:14">
      <c r="B147" s="108"/>
      <c r="C147" s="108"/>
      <c r="D147" s="108"/>
      <c r="E147" s="108"/>
      <c r="F147" s="108"/>
      <c r="G147" s="108"/>
      <c r="H147" s="108"/>
      <c r="I147" s="108"/>
      <c r="J147" s="108"/>
      <c r="K147" s="108"/>
      <c r="L147" s="108"/>
      <c r="M147" s="108"/>
      <c r="N147" s="108"/>
    </row>
    <row r="148" spans="2:14">
      <c r="B148" s="108"/>
      <c r="C148" s="108"/>
      <c r="D148" s="108"/>
      <c r="E148" s="108"/>
      <c r="F148" s="108"/>
      <c r="G148" s="108"/>
      <c r="H148" s="108"/>
      <c r="I148" s="108"/>
      <c r="J148" s="108"/>
      <c r="K148" s="108"/>
      <c r="L148" s="108"/>
      <c r="M148" s="108"/>
      <c r="N148" s="108"/>
    </row>
    <row r="149" spans="2:14">
      <c r="B149" s="108"/>
      <c r="C149" s="108"/>
      <c r="D149" s="108"/>
      <c r="E149" s="108"/>
      <c r="F149" s="108"/>
      <c r="G149" s="108"/>
      <c r="H149" s="108"/>
      <c r="I149" s="108"/>
      <c r="J149" s="108"/>
      <c r="K149" s="108"/>
      <c r="L149" s="108"/>
      <c r="M149" s="108"/>
      <c r="N149" s="108"/>
    </row>
    <row r="150" spans="2:14">
      <c r="B150" s="108"/>
      <c r="C150" s="108"/>
      <c r="D150" s="108"/>
      <c r="E150" s="108"/>
      <c r="F150" s="108"/>
      <c r="G150" s="108"/>
      <c r="H150" s="108"/>
      <c r="I150" s="108"/>
      <c r="J150" s="108"/>
      <c r="K150" s="108"/>
      <c r="L150" s="108"/>
      <c r="M150" s="108"/>
      <c r="N150" s="108"/>
    </row>
    <row r="151" spans="2:14">
      <c r="B151" s="108"/>
      <c r="C151" s="108"/>
      <c r="D151" s="108"/>
      <c r="E151" s="108"/>
      <c r="F151" s="108"/>
      <c r="G151" s="108"/>
      <c r="H151" s="108"/>
      <c r="I151" s="108"/>
      <c r="J151" s="108"/>
      <c r="K151" s="108"/>
      <c r="L151" s="108"/>
      <c r="M151" s="108"/>
      <c r="N151" s="108"/>
    </row>
    <row r="152" spans="2:14">
      <c r="B152" s="108"/>
      <c r="C152" s="108"/>
      <c r="D152" s="108"/>
      <c r="E152" s="108"/>
      <c r="F152" s="108"/>
      <c r="G152" s="108"/>
      <c r="H152" s="108"/>
      <c r="I152" s="108"/>
      <c r="J152" s="108"/>
      <c r="K152" s="108"/>
      <c r="L152" s="108"/>
      <c r="M152" s="108"/>
      <c r="N152" s="108"/>
    </row>
    <row r="153" spans="2:14">
      <c r="B153" s="108"/>
      <c r="C153" s="108"/>
      <c r="D153" s="108"/>
      <c r="E153" s="108"/>
      <c r="F153" s="108"/>
      <c r="G153" s="108"/>
      <c r="H153" s="108"/>
      <c r="I153" s="108"/>
      <c r="J153" s="108"/>
      <c r="K153" s="108"/>
      <c r="L153" s="108"/>
      <c r="M153" s="108"/>
      <c r="N153" s="108"/>
    </row>
    <row r="154" spans="2:14">
      <c r="B154" s="108"/>
      <c r="C154" s="108"/>
      <c r="D154" s="108"/>
      <c r="E154" s="108"/>
      <c r="F154" s="108"/>
      <c r="G154" s="108"/>
      <c r="H154" s="108"/>
      <c r="I154" s="108"/>
      <c r="J154" s="108"/>
      <c r="K154" s="108"/>
      <c r="L154" s="108"/>
      <c r="M154" s="108"/>
      <c r="N154" s="108"/>
    </row>
    <row r="155" spans="2:14">
      <c r="B155" s="108"/>
      <c r="C155" s="108"/>
      <c r="D155" s="108"/>
      <c r="E155" s="108"/>
      <c r="F155" s="108"/>
      <c r="G155" s="108"/>
      <c r="H155" s="108"/>
      <c r="I155" s="108"/>
      <c r="J155" s="108"/>
      <c r="K155" s="108"/>
      <c r="L155" s="108"/>
      <c r="M155" s="108"/>
      <c r="N155" s="108"/>
    </row>
    <row r="156" spans="2:14">
      <c r="B156" s="108"/>
      <c r="C156" s="108"/>
      <c r="D156" s="108"/>
      <c r="E156" s="108"/>
      <c r="F156" s="108"/>
      <c r="G156" s="108"/>
      <c r="H156" s="108"/>
      <c r="I156" s="108"/>
      <c r="J156" s="108"/>
      <c r="K156" s="108"/>
      <c r="L156" s="108"/>
      <c r="M156" s="108"/>
      <c r="N156" s="108"/>
    </row>
    <row r="157" spans="2:14">
      <c r="B157" s="108"/>
      <c r="C157" s="108"/>
      <c r="D157" s="108"/>
      <c r="E157" s="108"/>
      <c r="F157" s="108"/>
      <c r="G157" s="108"/>
      <c r="H157" s="108"/>
      <c r="I157" s="108"/>
      <c r="J157" s="108"/>
      <c r="K157" s="108"/>
      <c r="L157" s="108"/>
      <c r="M157" s="108"/>
      <c r="N157" s="108"/>
    </row>
    <row r="158" spans="2:14">
      <c r="B158" s="108"/>
      <c r="C158" s="108"/>
      <c r="D158" s="108"/>
      <c r="E158" s="108"/>
      <c r="F158" s="108"/>
      <c r="G158" s="108"/>
      <c r="H158" s="108"/>
      <c r="I158" s="108"/>
      <c r="J158" s="108"/>
      <c r="K158" s="108"/>
      <c r="L158" s="108"/>
      <c r="M158" s="108"/>
      <c r="N158" s="108"/>
    </row>
    <row r="159" spans="2:14">
      <c r="B159" s="108"/>
      <c r="C159" s="108"/>
      <c r="D159" s="108"/>
      <c r="E159" s="108"/>
      <c r="F159" s="108"/>
      <c r="G159" s="108"/>
      <c r="H159" s="108"/>
      <c r="I159" s="108"/>
      <c r="J159" s="108"/>
      <c r="K159" s="108"/>
      <c r="L159" s="108"/>
      <c r="M159" s="108"/>
      <c r="N159" s="108"/>
    </row>
    <row r="160" spans="2:14">
      <c r="B160" s="108"/>
      <c r="C160" s="108"/>
      <c r="D160" s="108"/>
      <c r="E160" s="108"/>
      <c r="F160" s="108"/>
      <c r="G160" s="108"/>
      <c r="H160" s="108"/>
      <c r="I160" s="108"/>
      <c r="J160" s="108"/>
      <c r="K160" s="108"/>
      <c r="L160" s="108"/>
      <c r="M160" s="108"/>
      <c r="N160" s="108"/>
    </row>
    <row r="161" spans="2:14">
      <c r="B161" s="108"/>
      <c r="C161" s="108"/>
      <c r="D161" s="108"/>
      <c r="E161" s="108"/>
      <c r="F161" s="108"/>
      <c r="G161" s="108"/>
      <c r="H161" s="108"/>
      <c r="I161" s="108"/>
      <c r="J161" s="108"/>
      <c r="K161" s="108"/>
      <c r="L161" s="108"/>
      <c r="M161" s="108"/>
      <c r="N161" s="108"/>
    </row>
    <row r="162" spans="2:14">
      <c r="B162" s="108"/>
      <c r="C162" s="108"/>
      <c r="D162" s="108"/>
      <c r="E162" s="108"/>
      <c r="F162" s="108"/>
      <c r="G162" s="108"/>
      <c r="H162" s="108"/>
      <c r="I162" s="108"/>
      <c r="J162" s="108"/>
      <c r="K162" s="108"/>
      <c r="L162" s="108"/>
      <c r="M162" s="108"/>
      <c r="N162" s="108"/>
    </row>
    <row r="163" spans="2:14">
      <c r="B163" s="108"/>
      <c r="C163" s="108"/>
      <c r="D163" s="108"/>
      <c r="E163" s="108"/>
      <c r="F163" s="108"/>
      <c r="G163" s="108"/>
      <c r="H163" s="108"/>
      <c r="I163" s="108"/>
      <c r="J163" s="108"/>
      <c r="K163" s="108"/>
      <c r="L163" s="108"/>
      <c r="M163" s="108"/>
      <c r="N163" s="108"/>
    </row>
    <row r="164" spans="2:14">
      <c r="B164" s="108"/>
      <c r="C164" s="108"/>
      <c r="D164" s="108"/>
      <c r="E164" s="108"/>
      <c r="F164" s="108"/>
      <c r="G164" s="108"/>
      <c r="H164" s="108"/>
      <c r="I164" s="108"/>
      <c r="J164" s="108"/>
      <c r="K164" s="108"/>
      <c r="L164" s="108"/>
      <c r="M164" s="108"/>
      <c r="N164" s="108"/>
    </row>
    <row r="165" spans="2:14">
      <c r="B165" s="108"/>
      <c r="C165" s="108"/>
      <c r="D165" s="108"/>
      <c r="E165" s="108"/>
      <c r="F165" s="108"/>
      <c r="G165" s="108"/>
      <c r="H165" s="108"/>
      <c r="I165" s="108"/>
      <c r="J165" s="108"/>
      <c r="K165" s="108"/>
      <c r="L165" s="108"/>
      <c r="M165" s="108"/>
      <c r="N165" s="108"/>
    </row>
    <row r="166" spans="2:14">
      <c r="B166" s="108"/>
      <c r="C166" s="108"/>
      <c r="D166" s="108"/>
      <c r="E166" s="108"/>
      <c r="F166" s="108"/>
      <c r="G166" s="108"/>
      <c r="H166" s="108"/>
      <c r="I166" s="108"/>
      <c r="J166" s="108"/>
      <c r="K166" s="108"/>
      <c r="L166" s="108"/>
      <c r="M166" s="108"/>
      <c r="N166" s="108"/>
    </row>
    <row r="167" spans="2:14">
      <c r="B167" s="108"/>
      <c r="C167" s="108"/>
      <c r="D167" s="108"/>
      <c r="E167" s="108"/>
      <c r="F167" s="108"/>
      <c r="G167" s="108"/>
      <c r="H167" s="108"/>
      <c r="I167" s="108"/>
      <c r="J167" s="108"/>
      <c r="K167" s="108"/>
      <c r="L167" s="108"/>
      <c r="M167" s="108"/>
      <c r="N167" s="108"/>
    </row>
    <row r="168" spans="2:14">
      <c r="B168" s="108"/>
      <c r="C168" s="108"/>
      <c r="D168" s="108"/>
      <c r="E168" s="108"/>
      <c r="F168" s="108"/>
      <c r="G168" s="108"/>
      <c r="H168" s="108"/>
      <c r="I168" s="108"/>
      <c r="J168" s="108"/>
      <c r="K168" s="108"/>
      <c r="L168" s="108"/>
      <c r="M168" s="108"/>
      <c r="N168" s="108"/>
    </row>
    <row r="169" spans="2:14">
      <c r="B169" s="108"/>
      <c r="C169" s="108"/>
      <c r="D169" s="108"/>
      <c r="E169" s="108"/>
      <c r="F169" s="108"/>
      <c r="G169" s="108"/>
      <c r="H169" s="108"/>
      <c r="I169" s="108"/>
      <c r="J169" s="108"/>
      <c r="K169" s="108"/>
      <c r="L169" s="108"/>
      <c r="M169" s="108"/>
      <c r="N169" s="108"/>
    </row>
    <row r="170" spans="2:14">
      <c r="B170" s="108"/>
      <c r="C170" s="108"/>
      <c r="D170" s="108"/>
      <c r="E170" s="108"/>
      <c r="F170" s="108"/>
      <c r="G170" s="108"/>
      <c r="H170" s="108"/>
      <c r="I170" s="108"/>
      <c r="J170" s="108"/>
      <c r="K170" s="108"/>
      <c r="L170" s="108"/>
      <c r="M170" s="108"/>
      <c r="N170" s="108"/>
    </row>
    <row r="171" spans="2:14">
      <c r="B171" s="108"/>
      <c r="C171" s="108"/>
      <c r="D171" s="108"/>
      <c r="E171" s="108"/>
      <c r="F171" s="108"/>
      <c r="G171" s="108"/>
      <c r="H171" s="108"/>
      <c r="I171" s="108"/>
      <c r="J171" s="108"/>
      <c r="K171" s="108"/>
      <c r="L171" s="108"/>
      <c r="M171" s="108"/>
      <c r="N171" s="108"/>
    </row>
    <row r="172" spans="2:14">
      <c r="B172" s="108"/>
      <c r="C172" s="108"/>
      <c r="D172" s="108"/>
      <c r="E172" s="108"/>
      <c r="F172" s="108"/>
      <c r="G172" s="108"/>
      <c r="H172" s="108"/>
      <c r="I172" s="108"/>
      <c r="J172" s="108"/>
      <c r="K172" s="108"/>
      <c r="L172" s="108"/>
      <c r="M172" s="108"/>
      <c r="N172" s="108"/>
    </row>
    <row r="173" spans="2:14">
      <c r="B173" s="108"/>
      <c r="C173" s="108"/>
      <c r="D173" s="108"/>
      <c r="E173" s="108"/>
      <c r="F173" s="108"/>
      <c r="G173" s="108"/>
      <c r="H173" s="108"/>
      <c r="I173" s="108"/>
      <c r="J173" s="108"/>
      <c r="K173" s="108"/>
      <c r="L173" s="108"/>
      <c r="M173" s="108"/>
      <c r="N173" s="108"/>
    </row>
    <row r="174" spans="2:14">
      <c r="B174" s="108"/>
      <c r="C174" s="108"/>
      <c r="D174" s="108"/>
      <c r="E174" s="108"/>
      <c r="F174" s="108"/>
      <c r="G174" s="108"/>
      <c r="H174" s="108"/>
      <c r="I174" s="108"/>
      <c r="J174" s="108"/>
      <c r="K174" s="108"/>
      <c r="L174" s="108"/>
      <c r="M174" s="108"/>
      <c r="N174" s="108"/>
    </row>
    <row r="175" spans="2:14">
      <c r="B175" s="108"/>
      <c r="C175" s="108"/>
      <c r="D175" s="108"/>
      <c r="E175" s="108"/>
      <c r="F175" s="108"/>
      <c r="G175" s="108"/>
      <c r="H175" s="108"/>
      <c r="I175" s="108"/>
      <c r="J175" s="108"/>
      <c r="K175" s="108"/>
      <c r="L175" s="108"/>
      <c r="M175" s="108"/>
      <c r="N175" s="108"/>
    </row>
    <row r="176" spans="2:14">
      <c r="B176" s="108"/>
      <c r="C176" s="108"/>
      <c r="D176" s="108"/>
      <c r="E176" s="108"/>
      <c r="F176" s="108"/>
      <c r="G176" s="108"/>
      <c r="H176" s="108"/>
      <c r="I176" s="108"/>
      <c r="J176" s="108"/>
      <c r="K176" s="108"/>
      <c r="L176" s="108"/>
      <c r="M176" s="108"/>
      <c r="N176" s="108"/>
    </row>
    <row r="177" spans="2:14">
      <c r="B177" s="108"/>
      <c r="C177" s="108"/>
      <c r="D177" s="108"/>
      <c r="E177" s="108"/>
      <c r="F177" s="108"/>
      <c r="G177" s="108"/>
      <c r="H177" s="108"/>
      <c r="I177" s="108"/>
      <c r="J177" s="108"/>
      <c r="K177" s="108"/>
      <c r="L177" s="108"/>
      <c r="M177" s="108"/>
      <c r="N177" s="108"/>
    </row>
    <row r="178" spans="2:14">
      <c r="B178" s="108"/>
      <c r="C178" s="108"/>
      <c r="D178" s="108"/>
      <c r="E178" s="108"/>
      <c r="F178" s="108"/>
      <c r="G178" s="108"/>
      <c r="H178" s="108"/>
      <c r="I178" s="108"/>
      <c r="J178" s="108"/>
      <c r="K178" s="108"/>
      <c r="L178" s="108"/>
      <c r="M178" s="108"/>
      <c r="N178" s="108"/>
    </row>
    <row r="179" spans="2:14">
      <c r="B179" s="108"/>
      <c r="C179" s="108"/>
      <c r="D179" s="108"/>
      <c r="E179" s="108"/>
      <c r="F179" s="108"/>
      <c r="G179" s="108"/>
      <c r="H179" s="108"/>
      <c r="I179" s="108"/>
      <c r="J179" s="108"/>
      <c r="K179" s="108"/>
      <c r="L179" s="108"/>
      <c r="M179" s="108"/>
      <c r="N179" s="108"/>
    </row>
    <row r="180" spans="2:14">
      <c r="B180" s="108"/>
      <c r="C180" s="108"/>
      <c r="D180" s="108"/>
      <c r="E180" s="108"/>
      <c r="F180" s="108"/>
      <c r="G180" s="108"/>
      <c r="H180" s="108"/>
      <c r="I180" s="108"/>
      <c r="J180" s="108"/>
      <c r="K180" s="108"/>
      <c r="L180" s="108"/>
      <c r="M180" s="108"/>
      <c r="N180" s="108"/>
    </row>
    <row r="181" spans="2:14">
      <c r="B181" s="108"/>
      <c r="C181" s="108"/>
      <c r="D181" s="108"/>
      <c r="E181" s="108"/>
      <c r="F181" s="108"/>
      <c r="G181" s="108"/>
      <c r="H181" s="108"/>
      <c r="I181" s="108"/>
      <c r="J181" s="108"/>
      <c r="K181" s="108"/>
      <c r="L181" s="108"/>
      <c r="M181" s="108"/>
      <c r="N181" s="108"/>
    </row>
    <row r="182" spans="2:14">
      <c r="B182" s="108"/>
      <c r="C182" s="108"/>
      <c r="D182" s="108"/>
      <c r="E182" s="108"/>
      <c r="F182" s="108"/>
      <c r="G182" s="108"/>
      <c r="H182" s="108"/>
      <c r="I182" s="108"/>
      <c r="J182" s="108"/>
      <c r="K182" s="108"/>
      <c r="L182" s="108"/>
      <c r="M182" s="108"/>
      <c r="N182" s="108"/>
    </row>
    <row r="183" spans="2:14">
      <c r="B183" s="108"/>
      <c r="C183" s="108"/>
      <c r="D183" s="108"/>
      <c r="E183" s="108"/>
      <c r="F183" s="108"/>
      <c r="G183" s="108"/>
      <c r="H183" s="108"/>
      <c r="I183" s="108"/>
      <c r="J183" s="108"/>
      <c r="K183" s="108"/>
      <c r="L183" s="108"/>
      <c r="M183" s="108"/>
      <c r="N183" s="108"/>
    </row>
    <row r="184" spans="2:14">
      <c r="B184" s="108"/>
      <c r="C184" s="108"/>
      <c r="D184" s="108"/>
      <c r="E184" s="108"/>
      <c r="F184" s="108"/>
      <c r="G184" s="108"/>
      <c r="H184" s="108"/>
      <c r="I184" s="108"/>
      <c r="J184" s="108"/>
      <c r="K184" s="108"/>
      <c r="L184" s="108"/>
      <c r="M184" s="108"/>
      <c r="N184" s="108"/>
    </row>
    <row r="185" spans="2:14">
      <c r="B185" s="108"/>
      <c r="C185" s="108"/>
      <c r="D185" s="108"/>
      <c r="E185" s="108"/>
      <c r="F185" s="108"/>
      <c r="G185" s="108"/>
      <c r="H185" s="108"/>
      <c r="I185" s="108"/>
      <c r="J185" s="108"/>
      <c r="K185" s="108"/>
      <c r="L185" s="108"/>
      <c r="M185" s="108"/>
      <c r="N185" s="108"/>
    </row>
    <row r="186" spans="2:14">
      <c r="B186" s="108"/>
      <c r="C186" s="108"/>
      <c r="D186" s="108"/>
      <c r="E186" s="108"/>
      <c r="F186" s="108"/>
      <c r="G186" s="108"/>
      <c r="H186" s="108"/>
      <c r="I186" s="108"/>
      <c r="J186" s="108"/>
      <c r="K186" s="108"/>
      <c r="L186" s="108"/>
      <c r="M186" s="108"/>
      <c r="N186" s="108"/>
    </row>
    <row r="187" spans="2:14">
      <c r="B187" s="108"/>
      <c r="C187" s="108"/>
      <c r="D187" s="108"/>
      <c r="E187" s="108"/>
      <c r="F187" s="108"/>
      <c r="G187" s="108"/>
      <c r="H187" s="108"/>
      <c r="I187" s="108"/>
      <c r="J187" s="108"/>
      <c r="K187" s="108"/>
      <c r="L187" s="108"/>
      <c r="M187" s="108"/>
      <c r="N187" s="108"/>
    </row>
    <row r="188" spans="2:14">
      <c r="B188" s="108"/>
      <c r="C188" s="108"/>
      <c r="D188" s="108"/>
      <c r="E188" s="108"/>
      <c r="F188" s="108"/>
      <c r="G188" s="108"/>
      <c r="H188" s="108"/>
      <c r="I188" s="108"/>
      <c r="J188" s="108"/>
      <c r="K188" s="108"/>
      <c r="L188" s="108"/>
      <c r="M188" s="108"/>
      <c r="N188" s="108"/>
    </row>
    <row r="189" spans="2:14">
      <c r="B189" s="108"/>
      <c r="C189" s="108"/>
      <c r="D189" s="108"/>
      <c r="E189" s="108"/>
      <c r="F189" s="108"/>
      <c r="G189" s="108"/>
      <c r="H189" s="108"/>
      <c r="I189" s="108"/>
      <c r="J189" s="108"/>
      <c r="K189" s="108"/>
      <c r="L189" s="108"/>
      <c r="M189" s="108"/>
      <c r="N189" s="108"/>
    </row>
    <row r="190" spans="2:14">
      <c r="B190" s="108"/>
      <c r="C190" s="108"/>
      <c r="D190" s="108"/>
      <c r="E190" s="108"/>
      <c r="F190" s="108"/>
      <c r="G190" s="108"/>
      <c r="H190" s="108"/>
      <c r="I190" s="108"/>
      <c r="J190" s="108"/>
      <c r="K190" s="108"/>
      <c r="L190" s="108"/>
      <c r="M190" s="108"/>
      <c r="N190" s="108"/>
    </row>
    <row r="191" spans="2:14">
      <c r="B191" s="108"/>
      <c r="C191" s="108"/>
      <c r="D191" s="108"/>
      <c r="E191" s="108"/>
      <c r="F191" s="108"/>
      <c r="G191" s="108"/>
      <c r="H191" s="108"/>
      <c r="I191" s="108"/>
      <c r="J191" s="108"/>
      <c r="K191" s="108"/>
      <c r="L191" s="108"/>
      <c r="M191" s="108"/>
      <c r="N191" s="108"/>
    </row>
    <row r="192" spans="2:14">
      <c r="B192" s="108"/>
      <c r="C192" s="108"/>
      <c r="D192" s="108"/>
      <c r="E192" s="108"/>
      <c r="F192" s="108"/>
      <c r="G192" s="108"/>
      <c r="H192" s="108"/>
      <c r="I192" s="108"/>
      <c r="J192" s="108"/>
      <c r="K192" s="108"/>
      <c r="L192" s="108"/>
      <c r="M192" s="108"/>
      <c r="N192" s="108"/>
    </row>
    <row r="193" spans="2:14">
      <c r="B193" s="108"/>
      <c r="C193" s="108"/>
      <c r="D193" s="108"/>
      <c r="E193" s="108"/>
      <c r="F193" s="108"/>
      <c r="G193" s="108"/>
      <c r="H193" s="108"/>
      <c r="I193" s="108"/>
      <c r="J193" s="108"/>
      <c r="K193" s="108"/>
      <c r="L193" s="108"/>
      <c r="M193" s="108"/>
      <c r="N193" s="108"/>
    </row>
    <row r="194" spans="2:14">
      <c r="B194" s="108"/>
      <c r="C194" s="108"/>
      <c r="D194" s="108"/>
      <c r="E194" s="108"/>
      <c r="F194" s="108"/>
      <c r="G194" s="108"/>
      <c r="H194" s="108"/>
      <c r="I194" s="108"/>
      <c r="J194" s="108"/>
      <c r="K194" s="108"/>
      <c r="L194" s="108"/>
      <c r="M194" s="108"/>
      <c r="N194" s="108"/>
    </row>
    <row r="195" spans="2:14">
      <c r="B195" s="108"/>
      <c r="C195" s="108"/>
      <c r="D195" s="108"/>
      <c r="E195" s="108"/>
      <c r="F195" s="108"/>
      <c r="G195" s="108"/>
      <c r="H195" s="108"/>
      <c r="I195" s="108"/>
      <c r="J195" s="108"/>
      <c r="K195" s="108"/>
      <c r="L195" s="108"/>
      <c r="M195" s="108"/>
      <c r="N195" s="108"/>
    </row>
    <row r="196" spans="2:14">
      <c r="B196" s="108"/>
      <c r="C196" s="108"/>
      <c r="D196" s="108"/>
      <c r="E196" s="108"/>
      <c r="F196" s="108"/>
      <c r="G196" s="108"/>
      <c r="H196" s="108"/>
      <c r="I196" s="108"/>
      <c r="J196" s="108"/>
      <c r="K196" s="108"/>
      <c r="L196" s="108"/>
      <c r="M196" s="108"/>
      <c r="N196" s="108"/>
    </row>
    <row r="197" spans="2:14">
      <c r="B197" s="108"/>
      <c r="C197" s="108"/>
      <c r="D197" s="108"/>
      <c r="E197" s="108"/>
      <c r="F197" s="108"/>
      <c r="G197" s="108"/>
      <c r="H197" s="108"/>
      <c r="I197" s="108"/>
      <c r="J197" s="108"/>
      <c r="K197" s="108"/>
      <c r="L197" s="108"/>
      <c r="M197" s="108"/>
      <c r="N197" s="108"/>
    </row>
    <row r="198" spans="2:14">
      <c r="B198" s="108"/>
      <c r="C198" s="108"/>
      <c r="D198" s="108"/>
      <c r="E198" s="108"/>
      <c r="F198" s="108"/>
      <c r="G198" s="108"/>
      <c r="H198" s="108"/>
      <c r="I198" s="108"/>
      <c r="J198" s="108"/>
      <c r="K198" s="108"/>
      <c r="L198" s="108"/>
      <c r="M198" s="108"/>
      <c r="N198" s="108"/>
    </row>
    <row r="199" spans="2:14">
      <c r="B199" s="108"/>
      <c r="C199" s="108"/>
      <c r="D199" s="108"/>
      <c r="E199" s="108"/>
      <c r="F199" s="108"/>
      <c r="G199" s="108"/>
      <c r="H199" s="108"/>
      <c r="I199" s="108"/>
      <c r="J199" s="108"/>
      <c r="K199" s="108"/>
      <c r="L199" s="108"/>
      <c r="M199" s="108"/>
      <c r="N199" s="108"/>
    </row>
    <row r="200" spans="2:14">
      <c r="B200" s="108"/>
      <c r="C200" s="108"/>
      <c r="D200" s="108"/>
      <c r="E200" s="108"/>
      <c r="F200" s="108"/>
      <c r="G200" s="108"/>
      <c r="H200" s="108"/>
      <c r="I200" s="108"/>
      <c r="J200" s="108"/>
      <c r="K200" s="108"/>
      <c r="L200" s="108"/>
      <c r="M200" s="108"/>
      <c r="N200" s="108"/>
    </row>
    <row r="201" spans="2:14">
      <c r="B201" s="108"/>
      <c r="C201" s="108"/>
      <c r="D201" s="108"/>
      <c r="E201" s="108"/>
      <c r="F201" s="108"/>
      <c r="G201" s="108"/>
      <c r="H201" s="108"/>
      <c r="I201" s="108"/>
      <c r="J201" s="108"/>
      <c r="K201" s="108"/>
      <c r="L201" s="108"/>
      <c r="M201" s="108"/>
      <c r="N201" s="108"/>
    </row>
    <row r="202" spans="2:14">
      <c r="B202" s="108"/>
      <c r="C202" s="108"/>
      <c r="D202" s="108"/>
      <c r="E202" s="108"/>
      <c r="F202" s="108"/>
      <c r="G202" s="108"/>
      <c r="H202" s="108"/>
      <c r="I202" s="108"/>
      <c r="J202" s="108"/>
      <c r="K202" s="108"/>
      <c r="L202" s="108"/>
      <c r="M202" s="108"/>
      <c r="N202" s="108"/>
    </row>
    <row r="203" spans="2:14">
      <c r="B203" s="108"/>
      <c r="C203" s="108"/>
      <c r="D203" s="108"/>
      <c r="E203" s="108"/>
      <c r="F203" s="108"/>
      <c r="G203" s="108"/>
      <c r="H203" s="108"/>
      <c r="I203" s="108"/>
      <c r="J203" s="108"/>
      <c r="K203" s="108"/>
      <c r="L203" s="108"/>
      <c r="M203" s="108"/>
      <c r="N203" s="108"/>
    </row>
    <row r="204" spans="2:14">
      <c r="B204" s="108"/>
      <c r="C204" s="108"/>
      <c r="D204" s="108"/>
      <c r="E204" s="108"/>
      <c r="F204" s="108"/>
      <c r="G204" s="108"/>
      <c r="H204" s="108"/>
      <c r="I204" s="108"/>
      <c r="J204" s="108"/>
      <c r="K204" s="108"/>
      <c r="L204" s="108"/>
      <c r="M204" s="108"/>
      <c r="N204" s="108"/>
    </row>
    <row r="205" spans="2:14">
      <c r="B205" s="108"/>
      <c r="C205" s="108"/>
      <c r="D205" s="108"/>
      <c r="E205" s="108"/>
      <c r="F205" s="108"/>
      <c r="G205" s="108"/>
      <c r="H205" s="108"/>
      <c r="I205" s="108"/>
      <c r="J205" s="108"/>
      <c r="K205" s="108"/>
      <c r="L205" s="108"/>
      <c r="M205" s="108"/>
      <c r="N205" s="108"/>
    </row>
    <row r="206" spans="2:14">
      <c r="B206" s="108"/>
      <c r="C206" s="108"/>
      <c r="D206" s="108"/>
      <c r="E206" s="108"/>
      <c r="F206" s="108"/>
      <c r="G206" s="108"/>
      <c r="H206" s="108"/>
      <c r="I206" s="108"/>
      <c r="J206" s="108"/>
      <c r="K206" s="108"/>
      <c r="L206" s="108"/>
      <c r="M206" s="108"/>
      <c r="N206" s="108"/>
    </row>
    <row r="207" spans="2:14">
      <c r="B207" s="108"/>
      <c r="C207" s="108"/>
      <c r="D207" s="108"/>
      <c r="E207" s="108"/>
      <c r="F207" s="108"/>
      <c r="G207" s="108"/>
      <c r="H207" s="108"/>
      <c r="I207" s="108"/>
      <c r="J207" s="108"/>
      <c r="K207" s="108"/>
      <c r="L207" s="108"/>
      <c r="M207" s="108"/>
      <c r="N207" s="108"/>
    </row>
    <row r="208" spans="2:14">
      <c r="B208" s="108"/>
      <c r="C208" s="108"/>
      <c r="D208" s="108"/>
      <c r="E208" s="108"/>
      <c r="F208" s="108"/>
      <c r="G208" s="108"/>
      <c r="H208" s="108"/>
      <c r="I208" s="108"/>
      <c r="J208" s="108"/>
      <c r="K208" s="108"/>
      <c r="L208" s="108"/>
      <c r="M208" s="108"/>
      <c r="N208" s="108"/>
    </row>
    <row r="209" spans="2:14">
      <c r="B209" s="108"/>
      <c r="C209" s="108"/>
      <c r="D209" s="108"/>
      <c r="E209" s="108"/>
      <c r="F209" s="108"/>
      <c r="G209" s="108"/>
      <c r="H209" s="108"/>
      <c r="I209" s="108"/>
      <c r="J209" s="108"/>
      <c r="K209" s="108"/>
      <c r="L209" s="108"/>
      <c r="M209" s="108"/>
      <c r="N209" s="108"/>
    </row>
    <row r="210" spans="2:14">
      <c r="B210" s="108"/>
      <c r="C210" s="108"/>
      <c r="D210" s="108"/>
      <c r="E210" s="108"/>
      <c r="F210" s="108"/>
      <c r="G210" s="108"/>
      <c r="H210" s="108"/>
      <c r="I210" s="108"/>
      <c r="J210" s="108"/>
      <c r="K210" s="108"/>
      <c r="L210" s="108"/>
      <c r="M210" s="108"/>
      <c r="N210" s="108"/>
    </row>
    <row r="211" spans="2:14">
      <c r="B211" s="108"/>
      <c r="C211" s="108"/>
      <c r="D211" s="108"/>
      <c r="E211" s="108"/>
      <c r="F211" s="108"/>
      <c r="G211" s="108"/>
      <c r="H211" s="108"/>
      <c r="I211" s="108"/>
      <c r="J211" s="108"/>
      <c r="K211" s="108"/>
      <c r="L211" s="108"/>
      <c r="M211" s="108"/>
      <c r="N211" s="108"/>
    </row>
    <row r="212" spans="2:14">
      <c r="B212" s="108"/>
      <c r="C212" s="108"/>
      <c r="D212" s="108"/>
      <c r="E212" s="108"/>
      <c r="F212" s="108"/>
      <c r="G212" s="108"/>
      <c r="H212" s="108"/>
      <c r="I212" s="108"/>
      <c r="J212" s="108"/>
      <c r="K212" s="108"/>
      <c r="L212" s="108"/>
      <c r="M212" s="108"/>
      <c r="N212" s="108"/>
    </row>
    <row r="213" spans="2:14">
      <c r="B213" s="108"/>
      <c r="C213" s="108"/>
      <c r="D213" s="108"/>
      <c r="E213" s="108"/>
      <c r="F213" s="108"/>
      <c r="G213" s="108"/>
      <c r="H213" s="108"/>
      <c r="I213" s="108"/>
      <c r="J213" s="108"/>
      <c r="K213" s="108"/>
      <c r="L213" s="108"/>
      <c r="M213" s="108"/>
      <c r="N213" s="108"/>
    </row>
    <row r="214" spans="2:14">
      <c r="B214" s="108"/>
      <c r="C214" s="108"/>
      <c r="D214" s="108"/>
      <c r="E214" s="108"/>
      <c r="F214" s="108"/>
      <c r="G214" s="108"/>
      <c r="H214" s="108"/>
      <c r="I214" s="108"/>
      <c r="J214" s="108"/>
      <c r="K214" s="108"/>
      <c r="L214" s="108"/>
      <c r="M214" s="108"/>
      <c r="N214" s="108"/>
    </row>
    <row r="215" spans="2:14">
      <c r="B215" s="108"/>
      <c r="C215" s="108"/>
      <c r="D215" s="108"/>
      <c r="E215" s="108"/>
      <c r="F215" s="108"/>
      <c r="G215" s="108"/>
      <c r="H215" s="108"/>
      <c r="I215" s="108"/>
      <c r="J215" s="108"/>
      <c r="K215" s="108"/>
      <c r="L215" s="108"/>
      <c r="M215" s="108"/>
      <c r="N215" s="108"/>
    </row>
    <row r="216" spans="2:14">
      <c r="B216" s="108"/>
      <c r="C216" s="108"/>
      <c r="D216" s="108"/>
      <c r="E216" s="108"/>
      <c r="F216" s="108"/>
      <c r="G216" s="108"/>
      <c r="H216" s="108"/>
      <c r="I216" s="108"/>
      <c r="J216" s="108"/>
      <c r="K216" s="108"/>
      <c r="L216" s="108"/>
      <c r="M216" s="108"/>
      <c r="N216" s="108"/>
    </row>
    <row r="217" spans="2:14">
      <c r="B217" s="108"/>
      <c r="C217" s="108"/>
      <c r="D217" s="108"/>
      <c r="E217" s="108"/>
      <c r="F217" s="108"/>
      <c r="G217" s="108"/>
      <c r="H217" s="108"/>
      <c r="I217" s="108"/>
      <c r="J217" s="108"/>
      <c r="K217" s="108"/>
      <c r="L217" s="108"/>
      <c r="M217" s="108"/>
      <c r="N217" s="108"/>
    </row>
    <row r="218" spans="2:14">
      <c r="B218" s="108"/>
      <c r="C218" s="108"/>
      <c r="D218" s="108"/>
      <c r="E218" s="108"/>
      <c r="F218" s="108"/>
      <c r="G218" s="108"/>
      <c r="H218" s="108"/>
      <c r="I218" s="108"/>
      <c r="J218" s="108"/>
      <c r="K218" s="108"/>
      <c r="L218" s="108"/>
      <c r="M218" s="108"/>
      <c r="N218" s="108"/>
    </row>
    <row r="219" spans="2:14">
      <c r="B219" s="108"/>
      <c r="C219" s="108"/>
      <c r="D219" s="108"/>
      <c r="E219" s="108"/>
      <c r="F219" s="108"/>
      <c r="G219" s="108"/>
      <c r="H219" s="108"/>
      <c r="I219" s="108"/>
      <c r="J219" s="108"/>
      <c r="K219" s="108"/>
      <c r="L219" s="108"/>
      <c r="M219" s="108"/>
      <c r="N219" s="108"/>
    </row>
    <row r="220" spans="2:14">
      <c r="B220" s="108"/>
      <c r="C220" s="108"/>
      <c r="D220" s="108"/>
      <c r="E220" s="108"/>
      <c r="F220" s="108"/>
      <c r="G220" s="108"/>
      <c r="H220" s="108"/>
      <c r="I220" s="108"/>
      <c r="J220" s="108"/>
      <c r="K220" s="108"/>
      <c r="L220" s="108"/>
      <c r="M220" s="108"/>
      <c r="N220" s="108"/>
    </row>
    <row r="221" spans="2:14">
      <c r="B221" s="108"/>
      <c r="C221" s="108"/>
      <c r="D221" s="108"/>
      <c r="E221" s="108"/>
      <c r="F221" s="108"/>
      <c r="G221" s="108"/>
      <c r="H221" s="108"/>
      <c r="I221" s="108"/>
      <c r="J221" s="108"/>
      <c r="K221" s="108"/>
      <c r="L221" s="108"/>
      <c r="M221" s="108"/>
      <c r="N221" s="108"/>
    </row>
    <row r="222" spans="2:14">
      <c r="B222" s="108"/>
      <c r="C222" s="108"/>
      <c r="D222" s="108"/>
      <c r="E222" s="108"/>
      <c r="F222" s="108"/>
      <c r="G222" s="108"/>
      <c r="H222" s="108"/>
      <c r="I222" s="108"/>
      <c r="J222" s="108"/>
      <c r="K222" s="108"/>
      <c r="L222" s="108"/>
      <c r="M222" s="108"/>
      <c r="N222" s="108"/>
    </row>
    <row r="223" spans="2:14">
      <c r="B223" s="108"/>
      <c r="C223" s="108"/>
      <c r="D223" s="108"/>
      <c r="E223" s="108"/>
      <c r="F223" s="108"/>
      <c r="G223" s="108"/>
      <c r="H223" s="108"/>
      <c r="I223" s="108"/>
      <c r="J223" s="108"/>
      <c r="K223" s="108"/>
      <c r="L223" s="108"/>
      <c r="M223" s="108"/>
      <c r="N223" s="108"/>
    </row>
  </sheetData>
  <sheetProtection password="D1AA" sheet="1" objects="1" scenarios="1"/>
  <mergeCells count="13">
    <mergeCell ref="A87:B87"/>
    <mergeCell ref="J87:L87"/>
    <mergeCell ref="B6:B7"/>
    <mergeCell ref="A54:I56"/>
    <mergeCell ref="C30:D30"/>
    <mergeCell ref="A1:I1"/>
    <mergeCell ref="B29:D29"/>
    <mergeCell ref="H3:I3"/>
    <mergeCell ref="H4:I4"/>
    <mergeCell ref="H7:I7"/>
    <mergeCell ref="D26:F26"/>
    <mergeCell ref="D25:F25"/>
    <mergeCell ref="F17:G17"/>
  </mergeCells>
  <hyperlinks>
    <hyperlink ref="A54" r:id="rId1"/>
    <hyperlink ref="D26" r:id="rId2"/>
    <hyperlink ref="B26" r:id="rId3" location="sgconversion "/>
  </hyperlinks>
  <pageMargins left="0.7" right="0.7" top="0.75" bottom="0.75" header="0.3" footer="0.3"/>
  <pageSetup paperSize="9" orientation="portrait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Fermentation</vt:lpstr>
      <vt:lpstr>Most Skema</vt:lpstr>
      <vt:lpstr>Data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Jørgen Walter</dc:creator>
  <cp:lastModifiedBy>Walter</cp:lastModifiedBy>
  <dcterms:created xsi:type="dcterms:W3CDTF">2013-02-26T16:24:26Z</dcterms:created>
  <dcterms:modified xsi:type="dcterms:W3CDTF">2024-01-14T18:14:29Z</dcterms:modified>
</cp:coreProperties>
</file>